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840" windowWidth="19440" windowHeight="12195" tabRatio="870"/>
  </bookViews>
  <sheets>
    <sheet name="Осн. фін. пок." sheetId="5" r:id="rId1"/>
    <sheet name="I. Формування фін. рез." sheetId="6" r:id="rId2"/>
    <sheet name="ІІ. Розр. з бюджетом" sheetId="7" r:id="rId3"/>
    <sheet name="ІІІ. Рух грош. коштів" sheetId="8" r:id="rId4"/>
    <sheet name="IV. Кап. інвестиції" sheetId="9" r:id="rId5"/>
    <sheet name=" V. Коефіцієнти" sheetId="10" r:id="rId6"/>
    <sheet name="Iнформація до ФП" sheetId="11" r:id="rId7"/>
    <sheet name="Продовження інф. до ФП" sheetId="12" r:id="rId8"/>
  </sheets>
  <definedNames>
    <definedName name="_xlnm.Print_Titles" localSheetId="1">'I. Формування фін. рез.'!$3:$5</definedName>
    <definedName name="_xlnm.Print_Titles" localSheetId="2">'ІІ. Розр. з бюджетом'!$3:$5</definedName>
    <definedName name="_xlnm.Print_Titles" localSheetId="3">'ІІІ. Рух грош. коштів'!$3:$5</definedName>
    <definedName name="_xlnm.Print_Titles" localSheetId="0">'Осн. фін. пок.'!$27:$29</definedName>
  </definedNames>
  <calcPr calcId="162913"/>
</workbook>
</file>

<file path=xl/calcChain.xml><?xml version="1.0" encoding="utf-8"?>
<calcChain xmlns="http://schemas.openxmlformats.org/spreadsheetml/2006/main">
  <c r="M79" i="12" l="1"/>
  <c r="D78" i="6" l="1"/>
  <c r="D76" i="6"/>
  <c r="AC8" i="12" l="1"/>
  <c r="AC9" i="12"/>
  <c r="AC10" i="12"/>
  <c r="AC11" i="12"/>
  <c r="AC12" i="12"/>
  <c r="AC13" i="12"/>
  <c r="AC14" i="12"/>
  <c r="AC15" i="12"/>
  <c r="AC16" i="12"/>
  <c r="AC17" i="12"/>
  <c r="AC18" i="12"/>
  <c r="AC19" i="12"/>
  <c r="AC20" i="12"/>
  <c r="AC21" i="12"/>
  <c r="AC22" i="12"/>
  <c r="AC23" i="12"/>
  <c r="AC24" i="12"/>
  <c r="AC25" i="12"/>
  <c r="Z8" i="12"/>
  <c r="Z9" i="12"/>
  <c r="Z10" i="12"/>
  <c r="Z11" i="12"/>
  <c r="Z12" i="12"/>
  <c r="Z13" i="12"/>
  <c r="Z14" i="12"/>
  <c r="Z15" i="12"/>
  <c r="Z16" i="12"/>
  <c r="Z17" i="12"/>
  <c r="Z18" i="12"/>
  <c r="Z19" i="12"/>
  <c r="Z20" i="12"/>
  <c r="Z21" i="12"/>
  <c r="Z22" i="12"/>
  <c r="Z23" i="12"/>
  <c r="Z24" i="12"/>
  <c r="Z25" i="12"/>
  <c r="Z26" i="12"/>
  <c r="Z27" i="12"/>
  <c r="Z28" i="12"/>
  <c r="Z29" i="12"/>
  <c r="Z30" i="12"/>
  <c r="Z31" i="12"/>
  <c r="F81" i="8"/>
  <c r="F83" i="8"/>
  <c r="F84" i="8"/>
  <c r="F85" i="8"/>
  <c r="F86" i="8"/>
  <c r="F87" i="8"/>
  <c r="F88" i="8"/>
  <c r="F90" i="8"/>
  <c r="F92" i="8"/>
  <c r="F93" i="8"/>
  <c r="F94" i="8"/>
  <c r="F95" i="8"/>
  <c r="F96" i="8"/>
  <c r="F97" i="8"/>
  <c r="F98" i="8"/>
  <c r="F101" i="8"/>
  <c r="F102" i="8"/>
  <c r="F53" i="8"/>
  <c r="F54" i="8"/>
  <c r="F55" i="8"/>
  <c r="F57" i="8"/>
  <c r="F58" i="8"/>
  <c r="H58" i="8" s="1"/>
  <c r="F59" i="8"/>
  <c r="H59" i="8" s="1"/>
  <c r="F62" i="8"/>
  <c r="F63" i="8"/>
  <c r="H63" i="8" s="1"/>
  <c r="F64" i="8"/>
  <c r="H64" i="8" s="1"/>
  <c r="F66" i="8"/>
  <c r="H66" i="8" s="1"/>
  <c r="F67" i="8"/>
  <c r="F68" i="8"/>
  <c r="F70" i="8"/>
  <c r="F71" i="8"/>
  <c r="F72" i="8"/>
  <c r="F73" i="8"/>
  <c r="F75" i="8"/>
  <c r="F76" i="8"/>
  <c r="F77" i="8"/>
  <c r="F8" i="8"/>
  <c r="F9" i="8"/>
  <c r="H9" i="8" s="1"/>
  <c r="F10" i="8"/>
  <c r="H10" i="8" s="1"/>
  <c r="F11" i="8"/>
  <c r="F12" i="8"/>
  <c r="H12" i="8" s="1"/>
  <c r="F13" i="8"/>
  <c r="H13" i="8" s="1"/>
  <c r="F14" i="8"/>
  <c r="F16" i="8"/>
  <c r="H16" i="8" s="1"/>
  <c r="F17" i="8"/>
  <c r="F18" i="8"/>
  <c r="F20" i="8"/>
  <c r="H20" i="8" s="1"/>
  <c r="F22" i="8"/>
  <c r="F23" i="8"/>
  <c r="F25" i="8"/>
  <c r="F26" i="8"/>
  <c r="F28" i="8"/>
  <c r="F29" i="8"/>
  <c r="F30" i="8"/>
  <c r="F32" i="8"/>
  <c r="H32" i="8" s="1"/>
  <c r="F33" i="8"/>
  <c r="F35" i="8"/>
  <c r="F38" i="8"/>
  <c r="F43" i="8"/>
  <c r="F44" i="8"/>
  <c r="F46" i="8"/>
  <c r="F48" i="8"/>
  <c r="H48" i="8" s="1"/>
  <c r="H29" i="8" l="1"/>
  <c r="H28" i="8"/>
  <c r="D49" i="8"/>
  <c r="F49" i="8" s="1"/>
  <c r="D30" i="7"/>
  <c r="D45" i="8"/>
  <c r="F45" i="8" s="1"/>
  <c r="D21" i="8"/>
  <c r="F21" i="8" s="1"/>
  <c r="D19" i="7"/>
  <c r="F23" i="7" l="1"/>
  <c r="H23" i="7" s="1"/>
  <c r="F24" i="7"/>
  <c r="F25" i="7"/>
  <c r="F26" i="7"/>
  <c r="F27" i="7"/>
  <c r="F28" i="7"/>
  <c r="F29" i="7"/>
  <c r="F30" i="7"/>
  <c r="H30" i="7" s="1"/>
  <c r="F32" i="7"/>
  <c r="H32" i="7" s="1"/>
  <c r="F35" i="7"/>
  <c r="F36" i="7"/>
  <c r="F38" i="7"/>
  <c r="F41" i="7"/>
  <c r="H41" i="7" s="1"/>
  <c r="F42" i="7"/>
  <c r="F43" i="7"/>
  <c r="F45" i="7"/>
  <c r="F46" i="7"/>
  <c r="F48" i="7"/>
  <c r="F50" i="7"/>
  <c r="F51" i="7"/>
  <c r="F9" i="7"/>
  <c r="F10" i="7"/>
  <c r="F11" i="7"/>
  <c r="F12" i="7"/>
  <c r="F13" i="7"/>
  <c r="F14" i="7"/>
  <c r="F15" i="7"/>
  <c r="F16" i="7"/>
  <c r="F18" i="7"/>
  <c r="F19" i="7"/>
  <c r="F7" i="7"/>
  <c r="D39" i="7"/>
  <c r="F39" i="7" s="1"/>
  <c r="D34" i="7"/>
  <c r="F34" i="7" s="1"/>
  <c r="J25" i="11" l="1"/>
  <c r="J26" i="11"/>
  <c r="J27" i="11"/>
  <c r="F148" i="5" l="1"/>
  <c r="F149" i="5"/>
  <c r="F150" i="5"/>
  <c r="F152" i="5"/>
  <c r="F153" i="5"/>
  <c r="F154" i="5"/>
  <c r="D142" i="5"/>
  <c r="F7" i="9"/>
  <c r="F8" i="9"/>
  <c r="F9" i="9"/>
  <c r="F10" i="9"/>
  <c r="F11" i="9"/>
  <c r="F12" i="9"/>
  <c r="F9" i="6"/>
  <c r="F10" i="6"/>
  <c r="F11" i="6"/>
  <c r="F12" i="6"/>
  <c r="F13" i="6"/>
  <c r="F14" i="6"/>
  <c r="F15" i="6"/>
  <c r="F17" i="6"/>
  <c r="F18" i="6"/>
  <c r="F19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4" i="6"/>
  <c r="F45" i="6"/>
  <c r="F46" i="6"/>
  <c r="F47" i="6"/>
  <c r="F50" i="6"/>
  <c r="F51" i="6"/>
  <c r="F52" i="6"/>
  <c r="F53" i="6"/>
  <c r="F54" i="6"/>
  <c r="F55" i="6"/>
  <c r="F59" i="6"/>
  <c r="F60" i="6"/>
  <c r="F62" i="6"/>
  <c r="F63" i="6"/>
  <c r="F64" i="6"/>
  <c r="F65" i="6"/>
  <c r="F66" i="6"/>
  <c r="F68" i="6"/>
  <c r="F69" i="6"/>
  <c r="F70" i="6"/>
  <c r="F71" i="6"/>
  <c r="F72" i="6"/>
  <c r="F74" i="6"/>
  <c r="F75" i="6"/>
  <c r="F76" i="6"/>
  <c r="F77" i="6"/>
  <c r="F78" i="6"/>
  <c r="F80" i="6"/>
  <c r="F81" i="6"/>
  <c r="F83" i="6"/>
  <c r="F84" i="6"/>
  <c r="F86" i="6"/>
  <c r="F88" i="6"/>
  <c r="F92" i="6"/>
  <c r="F94" i="6"/>
  <c r="F95" i="6"/>
  <c r="F98" i="6"/>
  <c r="F99" i="6"/>
  <c r="F100" i="6"/>
  <c r="F106" i="6"/>
  <c r="F107" i="6"/>
  <c r="F7" i="6"/>
  <c r="F117" i="6"/>
  <c r="F118" i="6"/>
  <c r="F119" i="6"/>
  <c r="F120" i="6"/>
  <c r="F121" i="6"/>
  <c r="F122" i="6"/>
  <c r="F116" i="6"/>
  <c r="D57" i="6"/>
  <c r="F57" i="6" s="1"/>
  <c r="W50" i="12" l="1"/>
  <c r="D97" i="6" l="1"/>
  <c r="F97" i="6" s="1"/>
  <c r="D90" i="6"/>
  <c r="F90" i="6" s="1"/>
  <c r="D48" i="6"/>
  <c r="F48" i="6" s="1"/>
  <c r="C162" i="5" l="1"/>
  <c r="C164" i="5"/>
  <c r="C163" i="5"/>
  <c r="P31" i="12"/>
  <c r="F27" i="11"/>
  <c r="F26" i="11"/>
  <c r="F25" i="11"/>
  <c r="C37" i="8"/>
  <c r="C37" i="7"/>
  <c r="C56" i="6"/>
  <c r="F68" i="11" l="1"/>
  <c r="H27" i="11"/>
  <c r="H26" i="11"/>
  <c r="H25" i="11"/>
  <c r="E45" i="8"/>
  <c r="H45" i="8" s="1"/>
  <c r="E8" i="7" l="1"/>
  <c r="E56" i="6"/>
  <c r="E19" i="6"/>
  <c r="G19" i="6" s="1"/>
  <c r="V52" i="12"/>
  <c r="W52" i="12"/>
  <c r="V53" i="12"/>
  <c r="W53" i="12"/>
  <c r="V54" i="12"/>
  <c r="W54" i="12"/>
  <c r="V55" i="12"/>
  <c r="W55" i="12"/>
  <c r="V56" i="12"/>
  <c r="W56" i="12"/>
  <c r="V57" i="12"/>
  <c r="V59" i="12"/>
  <c r="AD59" i="12" s="1"/>
  <c r="W59" i="12"/>
  <c r="V60" i="12"/>
  <c r="W60" i="12"/>
  <c r="AE60" i="12" s="1"/>
  <c r="V62" i="12"/>
  <c r="AD62" i="12" s="1"/>
  <c r="V63" i="12"/>
  <c r="V64" i="12"/>
  <c r="V66" i="12"/>
  <c r="AD66" i="12" s="1"/>
  <c r="V67" i="12"/>
  <c r="AD67" i="12" s="1"/>
  <c r="W67" i="12"/>
  <c r="V68" i="12"/>
  <c r="T58" i="12"/>
  <c r="AD60" i="12"/>
  <c r="E109" i="6"/>
  <c r="E73" i="6"/>
  <c r="D61" i="8"/>
  <c r="F61" i="8" s="1"/>
  <c r="G61" i="8" s="1"/>
  <c r="U65" i="12"/>
  <c r="D120" i="5"/>
  <c r="D116" i="5"/>
  <c r="J12" i="11"/>
  <c r="F156" i="5" s="1"/>
  <c r="D6" i="9"/>
  <c r="F6" i="9" s="1"/>
  <c r="D118" i="5"/>
  <c r="K8" i="8"/>
  <c r="I8" i="8"/>
  <c r="D16" i="6"/>
  <c r="AE68" i="12"/>
  <c r="AD68" i="12"/>
  <c r="AE67" i="12"/>
  <c r="AE66" i="12"/>
  <c r="T65" i="12"/>
  <c r="AE64" i="12"/>
  <c r="AD64" i="12"/>
  <c r="AE63" i="12"/>
  <c r="AD63" i="12"/>
  <c r="AE62" i="12"/>
  <c r="AE61" i="12"/>
  <c r="U61" i="12"/>
  <c r="T61" i="12"/>
  <c r="AE59" i="12"/>
  <c r="U58" i="12"/>
  <c r="W58" i="12" s="1"/>
  <c r="AE58" i="12" s="1"/>
  <c r="AE57" i="12"/>
  <c r="AD57" i="12"/>
  <c r="AE56" i="12"/>
  <c r="AD56" i="12"/>
  <c r="AE55" i="12"/>
  <c r="AD55" i="12"/>
  <c r="AE54" i="12"/>
  <c r="AD54" i="12"/>
  <c r="AE53" i="12"/>
  <c r="AD53" i="12"/>
  <c r="AE52" i="12"/>
  <c r="AD52" i="12"/>
  <c r="U51" i="12"/>
  <c r="T51" i="12"/>
  <c r="AE50" i="12"/>
  <c r="V50" i="12"/>
  <c r="AD50" i="12" s="1"/>
  <c r="U49" i="12"/>
  <c r="T49" i="12"/>
  <c r="W32" i="12"/>
  <c r="T32" i="12"/>
  <c r="P32" i="12"/>
  <c r="AC7" i="12"/>
  <c r="Z7" i="12"/>
  <c r="N70" i="11"/>
  <c r="N68" i="11" s="1"/>
  <c r="J68" i="11"/>
  <c r="H68" i="11"/>
  <c r="N67" i="11"/>
  <c r="N65" i="11" s="1"/>
  <c r="L65" i="11"/>
  <c r="L71" i="11" s="1"/>
  <c r="J65" i="11"/>
  <c r="H65" i="11"/>
  <c r="H71" i="11" s="1"/>
  <c r="F65" i="11"/>
  <c r="D65" i="11"/>
  <c r="D71" i="11" s="1"/>
  <c r="K56" i="11"/>
  <c r="G48" i="11"/>
  <c r="D48" i="11"/>
  <c r="M47" i="11"/>
  <c r="J47" i="11"/>
  <c r="M46" i="11"/>
  <c r="J46" i="11"/>
  <c r="K45" i="11"/>
  <c r="J45" i="11"/>
  <c r="N44" i="11"/>
  <c r="M44" i="11"/>
  <c r="K44" i="11"/>
  <c r="J44" i="11"/>
  <c r="N43" i="11"/>
  <c r="M43" i="11"/>
  <c r="K43" i="11"/>
  <c r="J43" i="11"/>
  <c r="J48" i="11" s="1"/>
  <c r="L27" i="11"/>
  <c r="F163" i="5"/>
  <c r="E162" i="5"/>
  <c r="N23" i="11"/>
  <c r="L23" i="11"/>
  <c r="N22" i="11"/>
  <c r="L22" i="11"/>
  <c r="N21" i="11"/>
  <c r="L21" i="11"/>
  <c r="J20" i="11"/>
  <c r="H20" i="11"/>
  <c r="F20" i="11"/>
  <c r="N19" i="11"/>
  <c r="L19" i="11"/>
  <c r="N18" i="11"/>
  <c r="L18" i="11"/>
  <c r="N17" i="11"/>
  <c r="L17" i="11"/>
  <c r="J16" i="11"/>
  <c r="H16" i="11"/>
  <c r="F16" i="11"/>
  <c r="N15" i="11"/>
  <c r="L15" i="11"/>
  <c r="N14" i="11"/>
  <c r="L14" i="11"/>
  <c r="N13" i="11"/>
  <c r="L13" i="11"/>
  <c r="H12" i="11"/>
  <c r="F12" i="11"/>
  <c r="G19" i="10"/>
  <c r="E19" i="10"/>
  <c r="D19" i="10"/>
  <c r="F19" i="10" s="1"/>
  <c r="G15" i="10"/>
  <c r="E15" i="10"/>
  <c r="D15" i="10"/>
  <c r="F15" i="10" s="1"/>
  <c r="G14" i="10"/>
  <c r="E14" i="10"/>
  <c r="D14" i="10"/>
  <c r="F14" i="10" s="1"/>
  <c r="G12" i="9"/>
  <c r="G11" i="9"/>
  <c r="H10" i="9"/>
  <c r="G10" i="9"/>
  <c r="G9" i="9"/>
  <c r="H8" i="9"/>
  <c r="G8" i="9"/>
  <c r="G7" i="9"/>
  <c r="E6" i="9"/>
  <c r="C6" i="9"/>
  <c r="C124" i="5" s="1"/>
  <c r="E3" i="9"/>
  <c r="G102" i="8"/>
  <c r="H101" i="8"/>
  <c r="G101" i="8"/>
  <c r="G98" i="8"/>
  <c r="G97" i="8"/>
  <c r="G96" i="8"/>
  <c r="G95" i="8"/>
  <c r="G94" i="8"/>
  <c r="G93" i="8"/>
  <c r="G92" i="8"/>
  <c r="E91" i="8"/>
  <c r="E89" i="8" s="1"/>
  <c r="D91" i="8"/>
  <c r="C91" i="8"/>
  <c r="C89" i="8" s="1"/>
  <c r="G90" i="8"/>
  <c r="G88" i="8"/>
  <c r="G87" i="8"/>
  <c r="G86" i="8"/>
  <c r="G85" i="8"/>
  <c r="G84" i="8"/>
  <c r="G83" i="8"/>
  <c r="E82" i="8"/>
  <c r="E80" i="8" s="1"/>
  <c r="D82" i="8"/>
  <c r="F82" i="8" s="1"/>
  <c r="C82" i="8"/>
  <c r="C80" i="8"/>
  <c r="C99" i="8" s="1"/>
  <c r="C110" i="5" s="1"/>
  <c r="G81" i="8"/>
  <c r="H77" i="8"/>
  <c r="G77" i="8"/>
  <c r="H76" i="8"/>
  <c r="G76" i="8"/>
  <c r="H75" i="8"/>
  <c r="E74" i="8"/>
  <c r="D74" i="8"/>
  <c r="F74" i="8" s="1"/>
  <c r="C74" i="8"/>
  <c r="G73" i="8"/>
  <c r="H72" i="8"/>
  <c r="G72" i="8"/>
  <c r="H71" i="8"/>
  <c r="G71" i="8"/>
  <c r="H70" i="8"/>
  <c r="E69" i="8"/>
  <c r="H69" i="8" s="1"/>
  <c r="D69" i="8"/>
  <c r="F69" i="8" s="1"/>
  <c r="C69" i="8"/>
  <c r="H68" i="8"/>
  <c r="G68" i="8"/>
  <c r="H67" i="8"/>
  <c r="G67" i="8"/>
  <c r="G66" i="8"/>
  <c r="E65" i="8"/>
  <c r="D65" i="8"/>
  <c r="F65" i="8" s="1"/>
  <c r="C65" i="8"/>
  <c r="H62" i="8"/>
  <c r="E61" i="8"/>
  <c r="E60" i="8" s="1"/>
  <c r="E78" i="8" s="1"/>
  <c r="E109" i="5" s="1"/>
  <c r="G58" i="8"/>
  <c r="G57" i="8"/>
  <c r="E56" i="8"/>
  <c r="D56" i="8"/>
  <c r="F56" i="8" s="1"/>
  <c r="C56" i="8"/>
  <c r="G55" i="8"/>
  <c r="G53" i="8"/>
  <c r="E52" i="8"/>
  <c r="C52" i="8"/>
  <c r="G49" i="8"/>
  <c r="E47" i="8"/>
  <c r="C47" i="8"/>
  <c r="G46" i="8"/>
  <c r="E44" i="8"/>
  <c r="H44" i="8" s="1"/>
  <c r="G44" i="8"/>
  <c r="E43" i="8"/>
  <c r="H43" i="8" s="1"/>
  <c r="E42" i="8"/>
  <c r="D42" i="8"/>
  <c r="F42" i="8" s="1"/>
  <c r="H42" i="8" s="1"/>
  <c r="E41" i="8"/>
  <c r="D41" i="8"/>
  <c r="F41" i="8" s="1"/>
  <c r="H41" i="8" s="1"/>
  <c r="E40" i="8"/>
  <c r="D40" i="8"/>
  <c r="F40" i="8" s="1"/>
  <c r="H40" i="8" s="1"/>
  <c r="C39" i="8"/>
  <c r="C31" i="8" s="1"/>
  <c r="G38" i="8"/>
  <c r="E37" i="8"/>
  <c r="D37" i="8"/>
  <c r="F37" i="8" s="1"/>
  <c r="G37" i="8" s="1"/>
  <c r="D36" i="8"/>
  <c r="G35" i="8"/>
  <c r="D34" i="8"/>
  <c r="F34" i="8" s="1"/>
  <c r="G33" i="8"/>
  <c r="G32" i="8"/>
  <c r="G30" i="8"/>
  <c r="G29" i="8"/>
  <c r="E27" i="8"/>
  <c r="D27" i="8"/>
  <c r="F27" i="8" s="1"/>
  <c r="H27" i="8" s="1"/>
  <c r="C27" i="8"/>
  <c r="G25" i="8"/>
  <c r="H23" i="8"/>
  <c r="G23" i="8"/>
  <c r="H22" i="8"/>
  <c r="G22" i="8"/>
  <c r="G21" i="8"/>
  <c r="E19" i="8"/>
  <c r="C19" i="8"/>
  <c r="G18" i="8"/>
  <c r="G17" i="8"/>
  <c r="I16" i="8"/>
  <c r="G16" i="8"/>
  <c r="E15" i="8"/>
  <c r="F15" i="8"/>
  <c r="H15" i="8" s="1"/>
  <c r="C15" i="8"/>
  <c r="G14" i="8"/>
  <c r="G12" i="8"/>
  <c r="G11" i="8"/>
  <c r="I18" i="8"/>
  <c r="G8" i="8"/>
  <c r="K7" i="8"/>
  <c r="K9" i="8"/>
  <c r="C7" i="8"/>
  <c r="E3" i="8"/>
  <c r="G50" i="7"/>
  <c r="E49" i="7"/>
  <c r="D49" i="7"/>
  <c r="C49" i="7"/>
  <c r="G48" i="7"/>
  <c r="E47" i="7"/>
  <c r="D47" i="7"/>
  <c r="C47" i="7"/>
  <c r="E44" i="7"/>
  <c r="E40" i="7"/>
  <c r="E101" i="5" s="1"/>
  <c r="D44" i="7"/>
  <c r="F44" i="7" s="1"/>
  <c r="C44" i="7"/>
  <c r="C40" i="7" s="1"/>
  <c r="C101" i="5" s="1"/>
  <c r="H43" i="7"/>
  <c r="G42" i="7"/>
  <c r="G41" i="7"/>
  <c r="G39" i="7"/>
  <c r="H38" i="7"/>
  <c r="E37" i="7"/>
  <c r="E33" i="7" s="1"/>
  <c r="D37" i="7"/>
  <c r="F37" i="7" s="1"/>
  <c r="G36" i="7"/>
  <c r="H35" i="7"/>
  <c r="H34" i="7"/>
  <c r="C33" i="7"/>
  <c r="G32" i="7"/>
  <c r="E31" i="7"/>
  <c r="E22" i="7" s="1"/>
  <c r="E92" i="5" s="1"/>
  <c r="D31" i="7"/>
  <c r="F31" i="7" s="1"/>
  <c r="C31" i="7"/>
  <c r="G30" i="7"/>
  <c r="G29" i="7"/>
  <c r="G28" i="7"/>
  <c r="G27" i="7"/>
  <c r="G26" i="7"/>
  <c r="G25" i="7"/>
  <c r="G24" i="7"/>
  <c r="G23" i="7"/>
  <c r="C22" i="7"/>
  <c r="G19" i="7"/>
  <c r="G18" i="7"/>
  <c r="E17" i="7"/>
  <c r="D17" i="7"/>
  <c r="C17" i="7"/>
  <c r="G16" i="7"/>
  <c r="G15" i="7"/>
  <c r="G14" i="7"/>
  <c r="G13" i="7"/>
  <c r="G12" i="7"/>
  <c r="G11" i="7"/>
  <c r="G10" i="7"/>
  <c r="G9" i="7"/>
  <c r="D8" i="7"/>
  <c r="F8" i="7" s="1"/>
  <c r="G8" i="7" s="1"/>
  <c r="C8" i="7"/>
  <c r="H7" i="7"/>
  <c r="G7" i="7"/>
  <c r="E3" i="7"/>
  <c r="E123" i="6"/>
  <c r="D123" i="6"/>
  <c r="F123" i="6" s="1"/>
  <c r="C123" i="6"/>
  <c r="H122" i="6"/>
  <c r="G122" i="6"/>
  <c r="H121" i="6"/>
  <c r="G121" i="6"/>
  <c r="H120" i="6"/>
  <c r="G120" i="6"/>
  <c r="H119" i="6"/>
  <c r="G119" i="6"/>
  <c r="H118" i="6"/>
  <c r="G118" i="6"/>
  <c r="H117" i="6"/>
  <c r="G117" i="6"/>
  <c r="H116" i="6"/>
  <c r="G116" i="6"/>
  <c r="E113" i="6"/>
  <c r="D113" i="6"/>
  <c r="F113" i="6" s="1"/>
  <c r="C113" i="6"/>
  <c r="E112" i="6"/>
  <c r="D112" i="6"/>
  <c r="F112" i="6" s="1"/>
  <c r="G112" i="6" s="1"/>
  <c r="C112" i="6"/>
  <c r="E111" i="6"/>
  <c r="D111" i="6"/>
  <c r="F111" i="6" s="1"/>
  <c r="C111" i="6"/>
  <c r="E110" i="6"/>
  <c r="D110" i="6"/>
  <c r="F110" i="6" s="1"/>
  <c r="C110" i="6"/>
  <c r="G109" i="6"/>
  <c r="D109" i="6"/>
  <c r="F109" i="6" s="1"/>
  <c r="C109" i="6"/>
  <c r="G106" i="6"/>
  <c r="G100" i="6"/>
  <c r="G99" i="6"/>
  <c r="G98" i="6"/>
  <c r="G97" i="6"/>
  <c r="H95" i="6"/>
  <c r="G95" i="6"/>
  <c r="G94" i="6"/>
  <c r="E93" i="6"/>
  <c r="E91" i="6" s="1"/>
  <c r="E56" i="5" s="1"/>
  <c r="D93" i="6"/>
  <c r="C93" i="6"/>
  <c r="C91" i="6" s="1"/>
  <c r="C56" i="5" s="1"/>
  <c r="G92" i="6"/>
  <c r="G90" i="6"/>
  <c r="E89" i="6"/>
  <c r="D89" i="6"/>
  <c r="C89" i="6"/>
  <c r="C87" i="6" s="1"/>
  <c r="C54" i="5" s="1"/>
  <c r="G88" i="6"/>
  <c r="E87" i="6"/>
  <c r="E54" i="5" s="1"/>
  <c r="G86" i="6"/>
  <c r="E85" i="6"/>
  <c r="D85" i="6"/>
  <c r="C85" i="6"/>
  <c r="C53" i="5" s="1"/>
  <c r="G84" i="6"/>
  <c r="G83" i="6"/>
  <c r="E82" i="6"/>
  <c r="D82" i="6"/>
  <c r="F82" i="6" s="1"/>
  <c r="F52" i="5" s="1"/>
  <c r="G52" i="5" s="1"/>
  <c r="C82" i="6"/>
  <c r="G81" i="6"/>
  <c r="G80" i="6"/>
  <c r="G78" i="6"/>
  <c r="G77" i="6"/>
  <c r="H76" i="6"/>
  <c r="G76" i="6"/>
  <c r="H75" i="6"/>
  <c r="G75" i="6"/>
  <c r="G74" i="6"/>
  <c r="D73" i="6"/>
  <c r="F73" i="6" s="1"/>
  <c r="C73" i="6"/>
  <c r="G72" i="6"/>
  <c r="G71" i="6"/>
  <c r="G70" i="6"/>
  <c r="G69" i="6"/>
  <c r="G68" i="6"/>
  <c r="E67" i="6"/>
  <c r="D67" i="6"/>
  <c r="F67" i="6" s="1"/>
  <c r="C67" i="6"/>
  <c r="C44" i="5" s="1"/>
  <c r="H66" i="6"/>
  <c r="G66" i="6"/>
  <c r="G65" i="6"/>
  <c r="G64" i="6"/>
  <c r="H63" i="6"/>
  <c r="G63" i="6"/>
  <c r="H62" i="6"/>
  <c r="G62" i="6"/>
  <c r="D61" i="6"/>
  <c r="C61" i="6"/>
  <c r="C58" i="6"/>
  <c r="G60" i="6"/>
  <c r="G59" i="6"/>
  <c r="E58" i="6"/>
  <c r="G57" i="6"/>
  <c r="H57" i="6"/>
  <c r="D56" i="6"/>
  <c r="F56" i="6" s="1"/>
  <c r="D49" i="6"/>
  <c r="F49" i="6" s="1"/>
  <c r="E49" i="6"/>
  <c r="E40" i="5" s="1"/>
  <c r="C49" i="6"/>
  <c r="C40" i="5" s="1"/>
  <c r="H55" i="6"/>
  <c r="G55" i="6"/>
  <c r="G54" i="6"/>
  <c r="H53" i="6"/>
  <c r="G53" i="6"/>
  <c r="H52" i="6"/>
  <c r="G52" i="6"/>
  <c r="G51" i="6"/>
  <c r="G50" i="6"/>
  <c r="H48" i="6"/>
  <c r="H47" i="6"/>
  <c r="G47" i="6"/>
  <c r="H46" i="6"/>
  <c r="G46" i="6"/>
  <c r="H45" i="6"/>
  <c r="G45" i="6"/>
  <c r="H44" i="6"/>
  <c r="G44" i="6"/>
  <c r="E43" i="6"/>
  <c r="E21" i="6" s="1"/>
  <c r="D43" i="6"/>
  <c r="F43" i="6" s="1"/>
  <c r="H43" i="6" s="1"/>
  <c r="C43" i="6"/>
  <c r="C21" i="6"/>
  <c r="C34" i="5" s="1"/>
  <c r="H42" i="6"/>
  <c r="G42" i="6"/>
  <c r="H41" i="6"/>
  <c r="G41" i="6"/>
  <c r="H40" i="6"/>
  <c r="G40" i="6"/>
  <c r="G39" i="6"/>
  <c r="G38" i="6"/>
  <c r="H37" i="6"/>
  <c r="G37" i="6"/>
  <c r="H36" i="6"/>
  <c r="G36" i="6"/>
  <c r="G35" i="6"/>
  <c r="G34" i="6"/>
  <c r="G33" i="6"/>
  <c r="G32" i="6"/>
  <c r="H31" i="6"/>
  <c r="G31" i="6"/>
  <c r="H30" i="6"/>
  <c r="G30" i="6"/>
  <c r="H29" i="6"/>
  <c r="G29" i="6"/>
  <c r="H28" i="6"/>
  <c r="G28" i="6"/>
  <c r="H27" i="6"/>
  <c r="G27" i="6"/>
  <c r="G26" i="6"/>
  <c r="H25" i="6"/>
  <c r="G25" i="6"/>
  <c r="G24" i="6"/>
  <c r="G23" i="6"/>
  <c r="H22" i="6"/>
  <c r="G22" i="6"/>
  <c r="D21" i="6"/>
  <c r="H18" i="6"/>
  <c r="G18" i="6"/>
  <c r="H17" i="6"/>
  <c r="G17" i="6"/>
  <c r="C16" i="6"/>
  <c r="C8" i="6" s="1"/>
  <c r="C32" i="5" s="1"/>
  <c r="H15" i="6"/>
  <c r="G15" i="6"/>
  <c r="H14" i="6"/>
  <c r="G14" i="6"/>
  <c r="H13" i="6"/>
  <c r="G13" i="6"/>
  <c r="H12" i="6"/>
  <c r="G12" i="6"/>
  <c r="H11" i="6"/>
  <c r="G11" i="6"/>
  <c r="H10" i="6"/>
  <c r="G10" i="6"/>
  <c r="H9" i="6"/>
  <c r="G9" i="6"/>
  <c r="H7" i="6"/>
  <c r="G7" i="6"/>
  <c r="E3" i="6"/>
  <c r="F164" i="5"/>
  <c r="E164" i="5"/>
  <c r="G164" i="5" s="1"/>
  <c r="E163" i="5"/>
  <c r="F162" i="5"/>
  <c r="F160" i="5"/>
  <c r="E160" i="5"/>
  <c r="G160" i="5" s="1"/>
  <c r="C160" i="5"/>
  <c r="F159" i="5"/>
  <c r="E159" i="5"/>
  <c r="F158" i="5"/>
  <c r="H158" i="5" s="1"/>
  <c r="E158" i="5"/>
  <c r="F157" i="5"/>
  <c r="E157" i="5"/>
  <c r="E156" i="5"/>
  <c r="C156" i="5"/>
  <c r="H154" i="5"/>
  <c r="G154" i="5"/>
  <c r="G153" i="5"/>
  <c r="G152" i="5"/>
  <c r="E151" i="5"/>
  <c r="D151" i="5"/>
  <c r="F151" i="5" s="1"/>
  <c r="C151" i="5"/>
  <c r="G150" i="5"/>
  <c r="G149" i="5"/>
  <c r="G148" i="5"/>
  <c r="E147" i="5"/>
  <c r="G147" i="5" s="1"/>
  <c r="D147" i="5"/>
  <c r="F147" i="5" s="1"/>
  <c r="C147" i="5"/>
  <c r="C142" i="5"/>
  <c r="D131" i="5"/>
  <c r="C131" i="5"/>
  <c r="D130" i="5"/>
  <c r="C130" i="5"/>
  <c r="G125" i="5"/>
  <c r="E124" i="5"/>
  <c r="E121" i="5" s="1"/>
  <c r="D124" i="5"/>
  <c r="D121" i="5" s="1"/>
  <c r="G123" i="5"/>
  <c r="G122" i="5"/>
  <c r="F120" i="5"/>
  <c r="E120" i="5"/>
  <c r="G120" i="5"/>
  <c r="C120" i="5"/>
  <c r="F119" i="5"/>
  <c r="E119" i="5"/>
  <c r="G119" i="5"/>
  <c r="D119" i="5"/>
  <c r="C119" i="5"/>
  <c r="F118" i="5"/>
  <c r="E118" i="5"/>
  <c r="C118" i="5"/>
  <c r="F117" i="5"/>
  <c r="E117" i="5"/>
  <c r="G117" i="5"/>
  <c r="D117" i="5"/>
  <c r="C117" i="5"/>
  <c r="F116" i="5"/>
  <c r="E116" i="5"/>
  <c r="H116" i="5" s="1"/>
  <c r="C116" i="5"/>
  <c r="F115" i="5"/>
  <c r="E115" i="5"/>
  <c r="D115" i="5"/>
  <c r="C115" i="5"/>
  <c r="E114" i="5"/>
  <c r="D114" i="5"/>
  <c r="C114" i="5"/>
  <c r="C121" i="5" s="1"/>
  <c r="F111" i="5"/>
  <c r="G111" i="5" s="1"/>
  <c r="E111" i="5"/>
  <c r="D111" i="5"/>
  <c r="C111" i="5"/>
  <c r="F107" i="5"/>
  <c r="E107" i="5"/>
  <c r="D107" i="5"/>
  <c r="C107" i="5"/>
  <c r="F106" i="5"/>
  <c r="G106" i="5" s="1"/>
  <c r="E106" i="5"/>
  <c r="D106" i="5"/>
  <c r="C106" i="5"/>
  <c r="E103" i="5"/>
  <c r="D103" i="5"/>
  <c r="C103" i="5"/>
  <c r="F102" i="5"/>
  <c r="G102" i="5" s="1"/>
  <c r="E102" i="5"/>
  <c r="D102" i="5"/>
  <c r="C102" i="5"/>
  <c r="C100" i="5"/>
  <c r="F99" i="5"/>
  <c r="E99" i="5"/>
  <c r="D99" i="5"/>
  <c r="C99" i="5"/>
  <c r="F98" i="5"/>
  <c r="E98" i="5"/>
  <c r="D98" i="5"/>
  <c r="C98" i="5"/>
  <c r="F97" i="5"/>
  <c r="E97" i="5"/>
  <c r="D97" i="5"/>
  <c r="C97" i="5"/>
  <c r="F96" i="5"/>
  <c r="E96" i="5"/>
  <c r="D96" i="5"/>
  <c r="C96" i="5"/>
  <c r="F95" i="5"/>
  <c r="E95" i="5"/>
  <c r="D95" i="5"/>
  <c r="C95" i="5"/>
  <c r="F94" i="5"/>
  <c r="E94" i="5"/>
  <c r="G94" i="5"/>
  <c r="D94" i="5"/>
  <c r="C94" i="5"/>
  <c r="E93" i="5"/>
  <c r="D93" i="5"/>
  <c r="C93" i="5"/>
  <c r="E89" i="5"/>
  <c r="C89" i="5"/>
  <c r="F88" i="5"/>
  <c r="E88" i="5"/>
  <c r="D88" i="5"/>
  <c r="C88" i="5"/>
  <c r="F87" i="5"/>
  <c r="E87" i="5"/>
  <c r="G87" i="5"/>
  <c r="D87" i="5"/>
  <c r="C87" i="5"/>
  <c r="F86" i="5"/>
  <c r="E86" i="5"/>
  <c r="D86" i="5"/>
  <c r="C86" i="5"/>
  <c r="F85" i="5"/>
  <c r="E85" i="5"/>
  <c r="G85" i="5" s="1"/>
  <c r="D85" i="5"/>
  <c r="C85" i="5"/>
  <c r="F84" i="5"/>
  <c r="E84" i="5"/>
  <c r="G84" i="5" s="1"/>
  <c r="D84" i="5"/>
  <c r="C84" i="5"/>
  <c r="F83" i="5"/>
  <c r="E83" i="5"/>
  <c r="G83" i="5" s="1"/>
  <c r="D83" i="5"/>
  <c r="C83" i="5"/>
  <c r="F82" i="5"/>
  <c r="E82" i="5"/>
  <c r="G82" i="5" s="1"/>
  <c r="D82" i="5"/>
  <c r="C82" i="5"/>
  <c r="F81" i="5"/>
  <c r="E81" i="5"/>
  <c r="C81" i="5"/>
  <c r="F80" i="5"/>
  <c r="E80" i="5"/>
  <c r="D80" i="5"/>
  <c r="C80" i="5"/>
  <c r="F76" i="5"/>
  <c r="E76" i="5"/>
  <c r="D76" i="5"/>
  <c r="C76" i="5"/>
  <c r="F75" i="5"/>
  <c r="E75" i="5"/>
  <c r="D75" i="5"/>
  <c r="E17" i="10" s="1"/>
  <c r="C75" i="5"/>
  <c r="D17" i="10" s="1"/>
  <c r="F17" i="10" s="1"/>
  <c r="F74" i="5"/>
  <c r="E74" i="5"/>
  <c r="D74" i="5"/>
  <c r="C74" i="5"/>
  <c r="F73" i="5"/>
  <c r="E73" i="5"/>
  <c r="D73" i="5"/>
  <c r="C73" i="5"/>
  <c r="F72" i="5"/>
  <c r="E72" i="5"/>
  <c r="D72" i="5"/>
  <c r="C72" i="5"/>
  <c r="F71" i="5"/>
  <c r="E71" i="5"/>
  <c r="D71" i="5"/>
  <c r="C71" i="5"/>
  <c r="F70" i="5"/>
  <c r="F77" i="5" s="1"/>
  <c r="E70" i="5"/>
  <c r="E77" i="5"/>
  <c r="D70" i="5"/>
  <c r="C70" i="5"/>
  <c r="F68" i="5"/>
  <c r="G68" i="5" s="1"/>
  <c r="E68" i="5"/>
  <c r="D68" i="5"/>
  <c r="C68" i="5"/>
  <c r="F62" i="5"/>
  <c r="G62" i="5" s="1"/>
  <c r="E62" i="5"/>
  <c r="D62" i="5"/>
  <c r="C62" i="5"/>
  <c r="F61" i="5"/>
  <c r="E61" i="5"/>
  <c r="D61" i="5"/>
  <c r="C61" i="5"/>
  <c r="F60" i="5"/>
  <c r="E60" i="5"/>
  <c r="D60" i="5"/>
  <c r="C60" i="5"/>
  <c r="F59" i="5"/>
  <c r="G59" i="5" s="1"/>
  <c r="E59" i="5"/>
  <c r="D59" i="5"/>
  <c r="C59" i="5"/>
  <c r="F57" i="5"/>
  <c r="E57" i="5"/>
  <c r="D57" i="5"/>
  <c r="C57" i="5"/>
  <c r="F55" i="5"/>
  <c r="E55" i="5"/>
  <c r="D55" i="5"/>
  <c r="C55" i="5"/>
  <c r="E52" i="5"/>
  <c r="C52" i="5"/>
  <c r="F51" i="5"/>
  <c r="E51" i="5"/>
  <c r="G51" i="5" s="1"/>
  <c r="D51" i="5"/>
  <c r="C51" i="5"/>
  <c r="F50" i="5"/>
  <c r="G50" i="5" s="1"/>
  <c r="E50" i="5"/>
  <c r="D50" i="5"/>
  <c r="C50" i="5"/>
  <c r="F46" i="5"/>
  <c r="G46" i="5" s="1"/>
  <c r="E46" i="5"/>
  <c r="D46" i="5"/>
  <c r="C46" i="5"/>
  <c r="F45" i="5"/>
  <c r="E45" i="5"/>
  <c r="D45" i="5"/>
  <c r="C45" i="5"/>
  <c r="E44" i="5"/>
  <c r="D44" i="5"/>
  <c r="F43" i="5"/>
  <c r="E43" i="5"/>
  <c r="G43" i="5"/>
  <c r="D43" i="5"/>
  <c r="C43" i="5"/>
  <c r="F42" i="5"/>
  <c r="G42" i="5" s="1"/>
  <c r="E42" i="5"/>
  <c r="D42" i="5"/>
  <c r="C42" i="5"/>
  <c r="F39" i="5"/>
  <c r="E39" i="5"/>
  <c r="D39" i="5"/>
  <c r="C39" i="5"/>
  <c r="F38" i="5"/>
  <c r="E38" i="5"/>
  <c r="D38" i="5"/>
  <c r="C38" i="5"/>
  <c r="F37" i="5"/>
  <c r="E37" i="5"/>
  <c r="D37" i="5"/>
  <c r="C37" i="5"/>
  <c r="F36" i="5"/>
  <c r="E36" i="5"/>
  <c r="D36" i="5"/>
  <c r="C36" i="5"/>
  <c r="F35" i="5"/>
  <c r="G35" i="5" s="1"/>
  <c r="E35" i="5"/>
  <c r="H35" i="5" s="1"/>
  <c r="D35" i="5"/>
  <c r="C35" i="5"/>
  <c r="F31" i="5"/>
  <c r="H31" i="5" s="1"/>
  <c r="E31" i="5"/>
  <c r="D31" i="5"/>
  <c r="C31" i="5"/>
  <c r="H151" i="5"/>
  <c r="J71" i="11"/>
  <c r="G115" i="5"/>
  <c r="G110" i="6"/>
  <c r="G111" i="6"/>
  <c r="G113" i="6"/>
  <c r="L25" i="11"/>
  <c r="V58" i="12"/>
  <c r="W65" i="12"/>
  <c r="AE65" i="12" s="1"/>
  <c r="V65" i="12"/>
  <c r="G55" i="5"/>
  <c r="G60" i="5"/>
  <c r="G86" i="5"/>
  <c r="G88" i="5"/>
  <c r="F103" i="5"/>
  <c r="D33" i="7"/>
  <c r="G13" i="8"/>
  <c r="F71" i="11"/>
  <c r="G118" i="5"/>
  <c r="F44" i="5"/>
  <c r="AD58" i="12"/>
  <c r="M48" i="11"/>
  <c r="L26" i="11"/>
  <c r="N27" i="11"/>
  <c r="G159" i="5"/>
  <c r="H118" i="5"/>
  <c r="H6" i="9"/>
  <c r="G107" i="5"/>
  <c r="G10" i="8"/>
  <c r="G26" i="8"/>
  <c r="G65" i="8"/>
  <c r="C60" i="8"/>
  <c r="C78" i="8" s="1"/>
  <c r="C109" i="5" s="1"/>
  <c r="G9" i="8"/>
  <c r="G63" i="8"/>
  <c r="G81" i="5"/>
  <c r="G80" i="5"/>
  <c r="G123" i="6"/>
  <c r="G49" i="6"/>
  <c r="G70" i="8"/>
  <c r="G151" i="5"/>
  <c r="F114" i="5"/>
  <c r="F124" i="5"/>
  <c r="G124" i="5" s="1"/>
  <c r="AD65" i="12"/>
  <c r="N20" i="11"/>
  <c r="N25" i="11"/>
  <c r="L20" i="11"/>
  <c r="H159" i="5"/>
  <c r="N26" i="11"/>
  <c r="G6" i="9"/>
  <c r="G28" i="8"/>
  <c r="G59" i="8"/>
  <c r="G62" i="8"/>
  <c r="G64" i="8"/>
  <c r="G75" i="8"/>
  <c r="H8" i="8"/>
  <c r="H25" i="8"/>
  <c r="H26" i="8"/>
  <c r="G75" i="5"/>
  <c r="G71" i="5"/>
  <c r="G57" i="5"/>
  <c r="H80" i="5"/>
  <c r="G43" i="7"/>
  <c r="H95" i="5"/>
  <c r="G98" i="5"/>
  <c r="G103" i="5"/>
  <c r="G35" i="7"/>
  <c r="G38" i="7"/>
  <c r="H39" i="7"/>
  <c r="G34" i="7"/>
  <c r="G34" i="8"/>
  <c r="H25" i="7"/>
  <c r="F93" i="5"/>
  <c r="G93" i="5" s="1"/>
  <c r="C77" i="5"/>
  <c r="C104" i="6"/>
  <c r="C66" i="5" s="1"/>
  <c r="C41" i="5"/>
  <c r="H38" i="5"/>
  <c r="G56" i="6"/>
  <c r="E41" i="5"/>
  <c r="C33" i="5"/>
  <c r="D7" i="10" s="1"/>
  <c r="F7" i="10" s="1"/>
  <c r="F40" i="5"/>
  <c r="H71" i="5"/>
  <c r="G48" i="6"/>
  <c r="H56" i="6"/>
  <c r="H75" i="5"/>
  <c r="C20" i="6"/>
  <c r="G20" i="8"/>
  <c r="H78" i="6"/>
  <c r="H90" i="6"/>
  <c r="H109" i="6"/>
  <c r="H123" i="6"/>
  <c r="D19" i="8"/>
  <c r="D47" i="8"/>
  <c r="F47" i="8" s="1"/>
  <c r="H47" i="8" s="1"/>
  <c r="H124" i="5"/>
  <c r="G17" i="10"/>
  <c r="H156" i="5" l="1"/>
  <c r="G156" i="5"/>
  <c r="C52" i="7"/>
  <c r="C104" i="5" s="1"/>
  <c r="G49" i="7"/>
  <c r="F49" i="7"/>
  <c r="D39" i="8"/>
  <c r="H160" i="5"/>
  <c r="H106" i="5"/>
  <c r="L12" i="11"/>
  <c r="N12" i="11"/>
  <c r="D60" i="8"/>
  <c r="F60" i="8" s="1"/>
  <c r="G36" i="5"/>
  <c r="G38" i="5"/>
  <c r="C92" i="5"/>
  <c r="D18" i="10"/>
  <c r="F18" i="10" s="1"/>
  <c r="H157" i="5"/>
  <c r="G82" i="6"/>
  <c r="D53" i="5"/>
  <c r="F85" i="6"/>
  <c r="F53" i="5" s="1"/>
  <c r="F24" i="11"/>
  <c r="AC32" i="12"/>
  <c r="Z32" i="12"/>
  <c r="V61" i="12"/>
  <c r="AD61" i="12" s="1"/>
  <c r="D100" i="5"/>
  <c r="F33" i="7"/>
  <c r="D34" i="5"/>
  <c r="F21" i="6"/>
  <c r="F34" i="5" s="1"/>
  <c r="D91" i="6"/>
  <c r="F93" i="6"/>
  <c r="F36" i="8"/>
  <c r="H36" i="8" s="1"/>
  <c r="G31" i="5"/>
  <c r="G43" i="6"/>
  <c r="E16" i="6"/>
  <c r="E8" i="6" s="1"/>
  <c r="G27" i="8"/>
  <c r="H61" i="8"/>
  <c r="E39" i="8"/>
  <c r="E31" i="8" s="1"/>
  <c r="E24" i="8" s="1"/>
  <c r="H103" i="5"/>
  <c r="H72" i="5"/>
  <c r="G73" i="5"/>
  <c r="G74" i="5"/>
  <c r="H76" i="5"/>
  <c r="G95" i="5"/>
  <c r="G97" i="5"/>
  <c r="G99" i="5"/>
  <c r="E18" i="10"/>
  <c r="G158" i="5"/>
  <c r="E7" i="8"/>
  <c r="N16" i="11"/>
  <c r="H24" i="11"/>
  <c r="E161" i="5" s="1"/>
  <c r="F47" i="7"/>
  <c r="G47" i="7" s="1"/>
  <c r="D89" i="8"/>
  <c r="F89" i="8" s="1"/>
  <c r="G89" i="8" s="1"/>
  <c r="F91" i="8"/>
  <c r="G91" i="8" s="1"/>
  <c r="G41" i="8"/>
  <c r="H19" i="6"/>
  <c r="F121" i="5"/>
  <c r="G18" i="10" s="1"/>
  <c r="D7" i="8"/>
  <c r="F7" i="8" s="1"/>
  <c r="H7" i="8" s="1"/>
  <c r="F19" i="8"/>
  <c r="H19" i="8" s="1"/>
  <c r="I7" i="8"/>
  <c r="I9" i="8" s="1"/>
  <c r="G45" i="5"/>
  <c r="D52" i="5"/>
  <c r="G61" i="5"/>
  <c r="D77" i="5"/>
  <c r="G157" i="5"/>
  <c r="C161" i="5"/>
  <c r="D58" i="6"/>
  <c r="F61" i="6"/>
  <c r="D87" i="6"/>
  <c r="F89" i="6"/>
  <c r="G89" i="6" s="1"/>
  <c r="H31" i="7"/>
  <c r="D40" i="7"/>
  <c r="C24" i="8"/>
  <c r="C50" i="8" s="1"/>
  <c r="H65" i="8"/>
  <c r="J24" i="11"/>
  <c r="L24" i="11" s="1"/>
  <c r="V49" i="12"/>
  <c r="AD49" i="12" s="1"/>
  <c r="W49" i="12"/>
  <c r="AE49" i="12" s="1"/>
  <c r="D8" i="6"/>
  <c r="F16" i="6"/>
  <c r="G16" i="6" s="1"/>
  <c r="G67" i="6"/>
  <c r="H73" i="6"/>
  <c r="D89" i="5"/>
  <c r="F17" i="7"/>
  <c r="D81" i="5"/>
  <c r="D52" i="8"/>
  <c r="G69" i="8"/>
  <c r="G15" i="8"/>
  <c r="G37" i="7"/>
  <c r="H37" i="7"/>
  <c r="G42" i="8"/>
  <c r="G31" i="7"/>
  <c r="D22" i="7"/>
  <c r="F22" i="7" s="1"/>
  <c r="F92" i="5" s="1"/>
  <c r="G96" i="5"/>
  <c r="N71" i="11"/>
  <c r="H114" i="5"/>
  <c r="G37" i="5"/>
  <c r="G39" i="5"/>
  <c r="G44" i="5"/>
  <c r="H70" i="5"/>
  <c r="H73" i="5"/>
  <c r="G70" i="5"/>
  <c r="G72" i="5"/>
  <c r="G76" i="5"/>
  <c r="H74" i="5"/>
  <c r="G77" i="5"/>
  <c r="H77" i="5"/>
  <c r="D40" i="5"/>
  <c r="D105" i="6"/>
  <c r="L16" i="11"/>
  <c r="H164" i="5"/>
  <c r="W51" i="12"/>
  <c r="AE51" i="12" s="1"/>
  <c r="V51" i="12"/>
  <c r="AD51" i="12" s="1"/>
  <c r="U69" i="12"/>
  <c r="G48" i="8"/>
  <c r="G56" i="8"/>
  <c r="C47" i="5"/>
  <c r="C58" i="5" s="1"/>
  <c r="C63" i="5" s="1"/>
  <c r="C128" i="5" s="1"/>
  <c r="C79" i="6"/>
  <c r="C108" i="6" s="1"/>
  <c r="C114" i="6" s="1"/>
  <c r="C105" i="6"/>
  <c r="C67" i="5" s="1"/>
  <c r="T69" i="12"/>
  <c r="G162" i="5"/>
  <c r="H162" i="5"/>
  <c r="H121" i="5"/>
  <c r="G121" i="5"/>
  <c r="G116" i="5"/>
  <c r="G114" i="5"/>
  <c r="G60" i="8"/>
  <c r="H60" i="8"/>
  <c r="H89" i="6"/>
  <c r="E104" i="6"/>
  <c r="E66" i="5" s="1"/>
  <c r="E53" i="5"/>
  <c r="G53" i="5" s="1"/>
  <c r="H44" i="5"/>
  <c r="H67" i="6"/>
  <c r="G73" i="6"/>
  <c r="G40" i="5"/>
  <c r="H40" i="5"/>
  <c r="H49" i="6"/>
  <c r="E34" i="5"/>
  <c r="G21" i="6"/>
  <c r="H21" i="6"/>
  <c r="E105" i="6"/>
  <c r="E32" i="5"/>
  <c r="E20" i="6"/>
  <c r="D41" i="5"/>
  <c r="G43" i="8"/>
  <c r="G54" i="8"/>
  <c r="E99" i="8"/>
  <c r="E110" i="5" s="1"/>
  <c r="N24" i="11"/>
  <c r="F161" i="5"/>
  <c r="D32" i="5"/>
  <c r="D33" i="5" s="1"/>
  <c r="E100" i="5"/>
  <c r="E52" i="7"/>
  <c r="E104" i="5" s="1"/>
  <c r="G33" i="7"/>
  <c r="G44" i="7"/>
  <c r="G40" i="8"/>
  <c r="G45" i="8"/>
  <c r="H74" i="8"/>
  <c r="G74" i="8"/>
  <c r="G82" i="8"/>
  <c r="H163" i="5"/>
  <c r="G163" i="5"/>
  <c r="D80" i="8"/>
  <c r="G7" i="8" l="1"/>
  <c r="C108" i="5"/>
  <c r="C100" i="8"/>
  <c r="C103" i="8" s="1"/>
  <c r="C112" i="5" s="1"/>
  <c r="C96" i="6"/>
  <c r="C101" i="6" s="1"/>
  <c r="D104" i="6"/>
  <c r="F58" i="6"/>
  <c r="E50" i="8"/>
  <c r="G36" i="8"/>
  <c r="D99" i="8"/>
  <c r="F99" i="8" s="1"/>
  <c r="F80" i="8"/>
  <c r="G80" i="8" s="1"/>
  <c r="H16" i="6"/>
  <c r="D20" i="6"/>
  <c r="F8" i="6"/>
  <c r="G85" i="6"/>
  <c r="D31" i="8"/>
  <c r="F39" i="8"/>
  <c r="H39" i="8" s="1"/>
  <c r="D101" i="5"/>
  <c r="F40" i="7"/>
  <c r="H61" i="6"/>
  <c r="G61" i="6"/>
  <c r="D56" i="5"/>
  <c r="F91" i="6"/>
  <c r="D78" i="8"/>
  <c r="F52" i="8"/>
  <c r="D54" i="5"/>
  <c r="F87" i="6"/>
  <c r="G93" i="6"/>
  <c r="H93" i="6"/>
  <c r="D67" i="5"/>
  <c r="F105" i="6"/>
  <c r="F67" i="5" s="1"/>
  <c r="G92" i="5"/>
  <c r="H92" i="5"/>
  <c r="F89" i="5"/>
  <c r="G89" i="5" s="1"/>
  <c r="G17" i="7"/>
  <c r="G19" i="8"/>
  <c r="F100" i="5"/>
  <c r="H33" i="7"/>
  <c r="H22" i="7"/>
  <c r="G22" i="7"/>
  <c r="D52" i="7"/>
  <c r="D92" i="5"/>
  <c r="W69" i="12"/>
  <c r="AE69" i="12" s="1"/>
  <c r="G47" i="8"/>
  <c r="D10" i="10"/>
  <c r="F10" i="10" s="1"/>
  <c r="C129" i="5"/>
  <c r="D11" i="10"/>
  <c r="F11" i="10" s="1"/>
  <c r="D9" i="10"/>
  <c r="F9" i="10" s="1"/>
  <c r="C127" i="5"/>
  <c r="V69" i="12"/>
  <c r="AD69" i="12" s="1"/>
  <c r="G34" i="5"/>
  <c r="H34" i="5"/>
  <c r="E79" i="6"/>
  <c r="E33" i="5"/>
  <c r="E67" i="5"/>
  <c r="G105" i="6"/>
  <c r="J7" i="8"/>
  <c r="G39" i="8"/>
  <c r="G40" i="7"/>
  <c r="F101" i="5"/>
  <c r="H40" i="7"/>
  <c r="D47" i="5"/>
  <c r="E7" i="10"/>
  <c r="H161" i="5"/>
  <c r="G161" i="5"/>
  <c r="C103" i="6"/>
  <c r="C65" i="5" s="1"/>
  <c r="C20" i="7"/>
  <c r="C90" i="5" s="1"/>
  <c r="C102" i="6"/>
  <c r="C64" i="5" s="1"/>
  <c r="G100" i="5"/>
  <c r="H100" i="5"/>
  <c r="G52" i="8"/>
  <c r="E100" i="8"/>
  <c r="E103" i="8" s="1"/>
  <c r="E112" i="5" s="1"/>
  <c r="E108" i="5"/>
  <c r="C48" i="5"/>
  <c r="C49" i="5" s="1"/>
  <c r="D13" i="10"/>
  <c r="F13" i="10" s="1"/>
  <c r="D8" i="10"/>
  <c r="F8" i="10" s="1"/>
  <c r="F32" i="5" l="1"/>
  <c r="G8" i="6"/>
  <c r="H8" i="6"/>
  <c r="D109" i="5"/>
  <c r="F78" i="8"/>
  <c r="F20" i="6"/>
  <c r="D79" i="6"/>
  <c r="F104" i="6"/>
  <c r="D66" i="5"/>
  <c r="D58" i="5"/>
  <c r="D63" i="5" s="1"/>
  <c r="F54" i="5"/>
  <c r="H87" i="6"/>
  <c r="G87" i="6"/>
  <c r="F31" i="8"/>
  <c r="D24" i="8"/>
  <c r="F56" i="5"/>
  <c r="G91" i="6"/>
  <c r="H91" i="6"/>
  <c r="G58" i="6"/>
  <c r="F41" i="5"/>
  <c r="H58" i="6"/>
  <c r="H105" i="6"/>
  <c r="D104" i="5"/>
  <c r="F52" i="7"/>
  <c r="F104" i="5" s="1"/>
  <c r="H67" i="5"/>
  <c r="G67" i="5"/>
  <c r="E96" i="6"/>
  <c r="E108" i="6"/>
  <c r="E47" i="5"/>
  <c r="E11" i="10"/>
  <c r="D129" i="5"/>
  <c r="D127" i="5"/>
  <c r="E9" i="10"/>
  <c r="E10" i="10"/>
  <c r="D128" i="5"/>
  <c r="G31" i="8"/>
  <c r="H31" i="8"/>
  <c r="L7" i="8"/>
  <c r="G78" i="8"/>
  <c r="F109" i="5"/>
  <c r="H101" i="5"/>
  <c r="G101" i="5"/>
  <c r="D110" i="5"/>
  <c r="D50" i="8" l="1"/>
  <c r="F24" i="8"/>
  <c r="J8" i="8"/>
  <c r="H54" i="5"/>
  <c r="G54" i="5"/>
  <c r="D108" i="6"/>
  <c r="F79" i="6"/>
  <c r="D96" i="6"/>
  <c r="G41" i="5"/>
  <c r="H41" i="5"/>
  <c r="F66" i="5"/>
  <c r="G104" i="6"/>
  <c r="H104" i="6"/>
  <c r="G52" i="7"/>
  <c r="H20" i="6"/>
  <c r="G20" i="6"/>
  <c r="G56" i="5"/>
  <c r="H56" i="5"/>
  <c r="H52" i="7"/>
  <c r="F33" i="5"/>
  <c r="H32" i="5"/>
  <c r="G32" i="5"/>
  <c r="E58" i="5"/>
  <c r="E101" i="6"/>
  <c r="E20" i="7" s="1"/>
  <c r="E114" i="6"/>
  <c r="F110" i="5"/>
  <c r="G110" i="5" s="1"/>
  <c r="G99" i="8"/>
  <c r="H104" i="5"/>
  <c r="G104" i="5"/>
  <c r="H109" i="5"/>
  <c r="G109" i="5"/>
  <c r="H24" i="8"/>
  <c r="G24" i="8"/>
  <c r="D101" i="6" l="1"/>
  <c r="F96" i="6"/>
  <c r="G66" i="5"/>
  <c r="H66" i="5"/>
  <c r="H79" i="6"/>
  <c r="G79" i="6"/>
  <c r="L8" i="8"/>
  <c r="J9" i="8"/>
  <c r="K11" i="8" s="1"/>
  <c r="D114" i="6"/>
  <c r="F108" i="6"/>
  <c r="F47" i="5"/>
  <c r="G7" i="10"/>
  <c r="G33" i="5"/>
  <c r="H33" i="5"/>
  <c r="F50" i="8"/>
  <c r="H50" i="8" s="1"/>
  <c r="D100" i="8"/>
  <c r="D108" i="5"/>
  <c r="E48" i="5"/>
  <c r="E103" i="6"/>
  <c r="E102" i="6"/>
  <c r="E63" i="5"/>
  <c r="F108" i="5" l="1"/>
  <c r="G50" i="8"/>
  <c r="F58" i="5"/>
  <c r="H47" i="5"/>
  <c r="G47" i="5"/>
  <c r="H108" i="6"/>
  <c r="G108" i="6"/>
  <c r="H96" i="6"/>
  <c r="G96" i="6"/>
  <c r="D103" i="8"/>
  <c r="F100" i="8"/>
  <c r="G100" i="8" s="1"/>
  <c r="D48" i="5"/>
  <c r="D49" i="5" s="1"/>
  <c r="F114" i="6"/>
  <c r="E8" i="10"/>
  <c r="E13" i="10"/>
  <c r="G9" i="10"/>
  <c r="D20" i="7"/>
  <c r="D103" i="6"/>
  <c r="D102" i="6"/>
  <c r="F101" i="6"/>
  <c r="E127" i="5"/>
  <c r="E65" i="5"/>
  <c r="E90" i="5"/>
  <c r="E49" i="5"/>
  <c r="E64" i="5"/>
  <c r="H108" i="5"/>
  <c r="G108" i="5"/>
  <c r="H100" i="8" l="1"/>
  <c r="D90" i="5"/>
  <c r="F20" i="7"/>
  <c r="H114" i="6"/>
  <c r="G114" i="6"/>
  <c r="G8" i="10"/>
  <c r="F48" i="5"/>
  <c r="G13" i="10"/>
  <c r="D65" i="5"/>
  <c r="F103" i="6"/>
  <c r="G101" i="6"/>
  <c r="H101" i="6"/>
  <c r="D112" i="5"/>
  <c r="F103" i="8"/>
  <c r="G103" i="8" s="1"/>
  <c r="D64" i="5"/>
  <c r="F102" i="6"/>
  <c r="F63" i="5"/>
  <c r="G58" i="5"/>
  <c r="H58" i="5"/>
  <c r="F112" i="5" l="1"/>
  <c r="H103" i="8"/>
  <c r="G10" i="10"/>
  <c r="G11" i="10"/>
  <c r="F127" i="5"/>
  <c r="H63" i="5"/>
  <c r="G63" i="5"/>
  <c r="F49" i="5"/>
  <c r="G48" i="5"/>
  <c r="H48" i="5"/>
  <c r="F90" i="5"/>
  <c r="G20" i="7"/>
  <c r="H20" i="7"/>
  <c r="F64" i="5"/>
  <c r="G64" i="5" s="1"/>
  <c r="G102" i="6"/>
  <c r="F65" i="5"/>
  <c r="G65" i="5" s="1"/>
  <c r="G103" i="6"/>
  <c r="H112" i="5"/>
  <c r="G112" i="5"/>
  <c r="G127" i="5" l="1"/>
  <c r="H127" i="5"/>
  <c r="G49" i="5"/>
  <c r="H49" i="5"/>
  <c r="H90" i="5"/>
  <c r="G90" i="5"/>
</calcChain>
</file>

<file path=xl/sharedStrings.xml><?xml version="1.0" encoding="utf-8"?>
<sst xmlns="http://schemas.openxmlformats.org/spreadsheetml/2006/main" count="1654" uniqueCount="600">
  <si>
    <t>Додаток 3</t>
  </si>
  <si>
    <t>до Порядку складання, затвердження</t>
  </si>
  <si>
    <t>та контролю виконання фінансового плану</t>
  </si>
  <si>
    <t>суб'єкта господарювання державного сектору економіки</t>
  </si>
  <si>
    <t>(пункт 11)</t>
  </si>
  <si>
    <t>Рік</t>
  </si>
  <si>
    <t>Коди</t>
  </si>
  <si>
    <t>Підприємство</t>
  </si>
  <si>
    <t>ПрАТ "Українське Дунайське Пароплавство"</t>
  </si>
  <si>
    <t>за ЄДРПОУ</t>
  </si>
  <si>
    <t>Організаційно-правова форма</t>
  </si>
  <si>
    <t>Державне підприємство</t>
  </si>
  <si>
    <t>за КОПФГ</t>
  </si>
  <si>
    <t>231</t>
  </si>
  <si>
    <t>Територія</t>
  </si>
  <si>
    <t>Одеська</t>
  </si>
  <si>
    <t>за КОАТУУ</t>
  </si>
  <si>
    <t>5110600000</t>
  </si>
  <si>
    <t>Орган державного управління</t>
  </si>
  <si>
    <t>МІНІСТЕРСТВО ІНФРАСТРУКТУРИ УКРАЇНИ</t>
  </si>
  <si>
    <t>за СПОДУ</t>
  </si>
  <si>
    <t>7214</t>
  </si>
  <si>
    <t>Галузь</t>
  </si>
  <si>
    <t>Морський транспорт</t>
  </si>
  <si>
    <t>за ЗКГНГ</t>
  </si>
  <si>
    <t>51210</t>
  </si>
  <si>
    <t>Вид економічної діяльності</t>
  </si>
  <si>
    <t>Діяльність морського вантажного транспорту</t>
  </si>
  <si>
    <t>за  КВЕД</t>
  </si>
  <si>
    <t>50.20</t>
  </si>
  <si>
    <t>Одиниця виміру, тис. гривень</t>
  </si>
  <si>
    <t>Стандарти звітності П(с)БОУ</t>
  </si>
  <si>
    <t>Форма власності</t>
  </si>
  <si>
    <t>ДЕРЖАВНА</t>
  </si>
  <si>
    <t>Стандарти звітності МСФЗ</t>
  </si>
  <si>
    <t>Середньооблікова кількість штатних працівників</t>
  </si>
  <si>
    <t>Місцезнаходження</t>
  </si>
  <si>
    <t>Телефон</t>
  </si>
  <si>
    <t>(04841) 67-177</t>
  </si>
  <si>
    <t>Прізвище та ініціали керівника</t>
  </si>
  <si>
    <t>ЗВІТ</t>
  </si>
  <si>
    <t>Основні фінансові показники</t>
  </si>
  <si>
    <t>Найменування показника</t>
  </si>
  <si>
    <t>Код рядка</t>
  </si>
  <si>
    <t>Факт наростаючим підсумком з початку року</t>
  </si>
  <si>
    <t>минулий рік</t>
  </si>
  <si>
    <t>поточний рік</t>
  </si>
  <si>
    <t>план</t>
  </si>
  <si>
    <t>факт</t>
  </si>
  <si>
    <t>відхилення,  +/–</t>
  </si>
  <si>
    <t>виконання, %</t>
  </si>
  <si>
    <t>І. Формування фінансових результатів</t>
  </si>
  <si>
    <t>Чистий дохід від реалізації продукції (товарів, робіт, послуг)</t>
  </si>
  <si>
    <t>0,0</t>
  </si>
  <si>
    <t>Собівартість реалізованої продукції (товарів, робіт, послуг)</t>
  </si>
  <si>
    <t>Валовий прибуток/збиток</t>
  </si>
  <si>
    <t>Адміністративні витрати, у тому числі:</t>
  </si>
  <si>
    <t>витрати, пов'язані з використанням власних службових автомобілів</t>
  </si>
  <si>
    <t>витрати на оренду службових автомобілів</t>
  </si>
  <si>
    <t>витрати на консалтингові послуги</t>
  </si>
  <si>
    <t>витрати на страхові послуги</t>
  </si>
  <si>
    <t>витрати на аудиторські послуги</t>
  </si>
  <si>
    <t>Витрати на збут</t>
  </si>
  <si>
    <t>Інші операційні доходи, у тому числі:</t>
  </si>
  <si>
    <t>курсові різниці</t>
  </si>
  <si>
    <t>нетипові операційні доходи</t>
  </si>
  <si>
    <t>Інші операційні витрати, у тому числі:</t>
  </si>
  <si>
    <t>нетипові операційні витрати</t>
  </si>
  <si>
    <t>Фінансовий результат від операційної діяльності</t>
  </si>
  <si>
    <t>EBITDA</t>
  </si>
  <si>
    <t>Рентабельність EBITDA</t>
  </si>
  <si>
    <t>Дохід від участі в капіталі</t>
  </si>
  <si>
    <t>Втрати від участі в капіталі</t>
  </si>
  <si>
    <t>Інші фінансові доходи</t>
  </si>
  <si>
    <t>Фінансові витрати</t>
  </si>
  <si>
    <t>Інші доходи, усього, у тому числі:</t>
  </si>
  <si>
    <t>Інші витрати, усього, у тому числі:</t>
  </si>
  <si>
    <t>Фінансовий результат до оподаткування</t>
  </si>
  <si>
    <t>Витрати з податку на прибуток</t>
  </si>
  <si>
    <t>Дохід з податку на прибуток</t>
  </si>
  <si>
    <t>Прибуток від припиненої діяльності після оподаткування</t>
  </si>
  <si>
    <t>Збиток від припиненої діяльності після оподаткування</t>
  </si>
  <si>
    <t>Чистий фінансовий результат</t>
  </si>
  <si>
    <t>Прибуток</t>
  </si>
  <si>
    <t>Збиток</t>
  </si>
  <si>
    <t>Усього доходів</t>
  </si>
  <si>
    <t>Усього витрат</t>
  </si>
  <si>
    <t>Неконтрольована частка</t>
  </si>
  <si>
    <t>Елементи операційних витрат</t>
  </si>
  <si>
    <t>Матеріальні витрати, у тому числі:</t>
  </si>
  <si>
    <t>витрати на сировину та основні матеріали</t>
  </si>
  <si>
    <t>витрати на паливо та енергію</t>
  </si>
  <si>
    <t>Витрати на оплату праці</t>
  </si>
  <si>
    <t>Відрахування на соціальні заходи</t>
  </si>
  <si>
    <t>Амортизація</t>
  </si>
  <si>
    <t>Інші операційні витрати</t>
  </si>
  <si>
    <t>Усього</t>
  </si>
  <si>
    <t>IІ. Розрахунки з бюджетом</t>
  </si>
  <si>
    <t>Розподіл чистого прибутку</t>
  </si>
  <si>
    <t>Залишок нерозподіленого прибутку (непокритого збитку) на початок звітного періоду</t>
  </si>
  <si>
    <t>Нараховані до сплати відрахування частини чистого прибутку, усього, у тому числі:</t>
  </si>
  <si>
    <t>державними унітарними підприємствами та їх об'єднаннями до державного бюджету</t>
  </si>
  <si>
    <t>господарськими товариствами, у статутному капіталі яких більше 50 відсотків акцій (часток, паїв) належать державі, на виплату дивідендів</t>
  </si>
  <si>
    <t>у тому числі на державну частку</t>
  </si>
  <si>
    <t>2012/1</t>
  </si>
  <si>
    <t>Перенесено з додаткового капіталу</t>
  </si>
  <si>
    <t>Розвиток виробництва</t>
  </si>
  <si>
    <t>Резервний фонд</t>
  </si>
  <si>
    <t>Інші фонди</t>
  </si>
  <si>
    <t>Інші цілі</t>
  </si>
  <si>
    <t>Залишок нерозподіленого прибутку (непокритого збитку) на кінець звітного періоду</t>
  </si>
  <si>
    <t>Сплата податків, зборів та інших обов'язкових платежів</t>
  </si>
  <si>
    <t>Сплата податків та зборів до Державного бюджету України (податкові платежі), усього, у тому числі:</t>
  </si>
  <si>
    <t>податок на прибуток підприємств</t>
  </si>
  <si>
    <t>ПДВ, що підлягає сплаті до бюджету за підсумками звітного періоду</t>
  </si>
  <si>
    <t>ПДВ, що підлягає відшкодуванню з бюджету за підсумками звітного періоду</t>
  </si>
  <si>
    <t>акцизний податок</t>
  </si>
  <si>
    <t>відрахування частини чистого прибутку державними унітарними підприємствами та їх об'єднаннями</t>
  </si>
  <si>
    <t>рентна плата за транспортування</t>
  </si>
  <si>
    <t>рентна плата за користування надрами</t>
  </si>
  <si>
    <t>Сплата податків та зборів до місцевих бюджетів (податкові платежі)</t>
  </si>
  <si>
    <t>Інші податки, збори та платежі на користь держави,
усього, у тому числі:</t>
  </si>
  <si>
    <t>відрахування частини чистого прибутку господарськими товариствами, у статутному капіталі яких більше 50 відсотків акцій (часток, паїв) належать державі, на виплату дивідендів на державну частку</t>
  </si>
  <si>
    <t>єдиний внесок на загальнообов'язкове державне соціальне страхування</t>
  </si>
  <si>
    <t>Усього виплат на користь держави</t>
  </si>
  <si>
    <t>IІІ. Рух грошових коштів</t>
  </si>
  <si>
    <t>Залишок коштів на початок періоду</t>
  </si>
  <si>
    <t>Цільове фінансування</t>
  </si>
  <si>
    <t>Чистий рух коштів від операційної діяльності</t>
  </si>
  <si>
    <t>Чистий рух коштів від інвестиційної діяльності </t>
  </si>
  <si>
    <t>Чистий рух коштів від фінансової діяльності</t>
  </si>
  <si>
    <t>Вплив зміни валютних курсів на залишок коштів</t>
  </si>
  <si>
    <t>Залишок коштів на кінець періоду</t>
  </si>
  <si>
    <t>ІV. Капітальні інвестиції</t>
  </si>
  <si>
    <t>Капітальні інвестиції, усього, у тому числі:</t>
  </si>
  <si>
    <t>капітальне будівництво</t>
  </si>
  <si>
    <t>придбання (виготовлення) основних засобів</t>
  </si>
  <si>
    <t>придбання (виготовлення) інших необоротних матеріальних активів</t>
  </si>
  <si>
    <t>придбання (створення) нематеріальних активів</t>
  </si>
  <si>
    <t>модернізація, модифікація (добудова, дообладнання, реконструкція) основних засобів</t>
  </si>
  <si>
    <t>капітальний ремонт</t>
  </si>
  <si>
    <t>Джерела капітальних інвестицій, усього, у тому числі:</t>
  </si>
  <si>
    <t>залучені кредитні кошти</t>
  </si>
  <si>
    <t>4000/1</t>
  </si>
  <si>
    <t>бюджетне фінансування</t>
  </si>
  <si>
    <t>4000/2</t>
  </si>
  <si>
    <t>власні кошти</t>
  </si>
  <si>
    <t>4000/3</t>
  </si>
  <si>
    <t>інші джерела</t>
  </si>
  <si>
    <t>4000/4</t>
  </si>
  <si>
    <t>V. Коефіцієнтний аналіз</t>
  </si>
  <si>
    <t>Рентабельність діяльності</t>
  </si>
  <si>
    <t>Рентабельність активів</t>
  </si>
  <si>
    <t>Рентабельність власного капіталу</t>
  </si>
  <si>
    <t>Коефіцієнт фінансової стійкості</t>
  </si>
  <si>
    <t>Коефіцієнт зносу основних засобів</t>
  </si>
  <si>
    <t>VI. Звіт про фінансовий стан</t>
  </si>
  <si>
    <t>Необоротні активи, усього, у тому числі:</t>
  </si>
  <si>
    <t>x</t>
  </si>
  <si>
    <t>Основні засоби</t>
  </si>
  <si>
    <t>первісна вартість</t>
  </si>
  <si>
    <t>знос</t>
  </si>
  <si>
    <t>Оборотні активи, усього, у тому числі:</t>
  </si>
  <si>
    <t>Гроші та їх еквіваленти</t>
  </si>
  <si>
    <t>Усього активи</t>
  </si>
  <si>
    <t>Довгострокові зобов'язання і забезпечення</t>
  </si>
  <si>
    <t>Поточні зобов'язання і забезпечення</t>
  </si>
  <si>
    <t>Усього зобов'язання і забезпечення</t>
  </si>
  <si>
    <t>У тому числі державні гранти і субсидії</t>
  </si>
  <si>
    <t>У тому числі фінансові запозичення</t>
  </si>
  <si>
    <t>Власний капітал</t>
  </si>
  <si>
    <t>VІI. Кредитна політика</t>
  </si>
  <si>
    <t>Отримано залучених коштів, усього, у тому числі:</t>
  </si>
  <si>
    <t>довгострокові зобов'язання</t>
  </si>
  <si>
    <t>короткострокові зобов'язання</t>
  </si>
  <si>
    <t>інші фінансові зобов'язання</t>
  </si>
  <si>
    <t>Повернено залучених коштів, усього, у тому числі:</t>
  </si>
  <si>
    <t>VIII. Дані про персонал та витрати на оплату праці</t>
  </si>
  <si>
    <t>Середня кількість працівників (штатних працівників, зовнішніх сумісників та працівників, що працюють за цивільно-правовими договорами), у тому числі:</t>
  </si>
  <si>
    <t>директор</t>
  </si>
  <si>
    <t>адміністративно-управлінський персонал</t>
  </si>
  <si>
    <t>працівники</t>
  </si>
  <si>
    <t>Середньомісячні витрати на оплату праці одного працівника (гривень), усього, у тому числі:</t>
  </si>
  <si>
    <t>Керівник</t>
  </si>
  <si>
    <t>(посада)</t>
  </si>
  <si>
    <t>(підпис)</t>
  </si>
  <si>
    <t>(ініціали, прізвище)</t>
  </si>
  <si>
    <t>I. Формування фінансових результатів</t>
  </si>
  <si>
    <t>Пояснення та обґрунтування до запланованого рівня доходів/витрат</t>
  </si>
  <si>
    <t>Доходи і витрати (деталізація)</t>
  </si>
  <si>
    <t>Чистий дохід від реалізації продукції (товарів, робіт, послуг) (розшифрувати)</t>
  </si>
  <si>
    <t>Витрати на сировину та основні матеріали</t>
  </si>
  <si>
    <t>Витрати на паливо</t>
  </si>
  <si>
    <t>Витрати на електроенергію</t>
  </si>
  <si>
    <t>Витрати, що здійснюються для підтримання об’єкта в робочому стані (проведення ремонту, технічного огляду, нагляду, обслуговування тощо)</t>
  </si>
  <si>
    <t>Амортизація основних засобів і нематеріальних активів</t>
  </si>
  <si>
    <t>інші витрати (розшифрувати)</t>
  </si>
  <si>
    <t>виплата інвалюти замість добових</t>
  </si>
  <si>
    <t>інші</t>
  </si>
  <si>
    <t>Валовий прибуток (збиток)</t>
  </si>
  <si>
    <t>витрати на службові відрядження</t>
  </si>
  <si>
    <t>витрати на зв’язок</t>
  </si>
  <si>
    <t>витрати на оплату праці</t>
  </si>
  <si>
    <t>відрахування на соціальні заходи</t>
  </si>
  <si>
    <t>амортизація основних засобів і нематеріальних активів загальногосподарського призначення</t>
  </si>
  <si>
    <t>витрати на операційну оренду основних засобів та роялті, що мають загальногосподарське призначення</t>
  </si>
  <si>
    <t>витрати на страхування майна загальногосподарського призначення</t>
  </si>
  <si>
    <t>витрати на страхування загальногосподарського персоналу</t>
  </si>
  <si>
    <t>організаційно-технічні послуги</t>
  </si>
  <si>
    <t>консультаційні та інформаційні послуги</t>
  </si>
  <si>
    <t>юридичні послуги</t>
  </si>
  <si>
    <t>послуги з оцінки майна</t>
  </si>
  <si>
    <t>витрати на охорону праці загальногосподарського персоналу</t>
  </si>
  <si>
    <t>витрати на підвищення кваліфікації та перепідготовку кадрів</t>
  </si>
  <si>
    <t>витрати на утримання основних фондів, інших необоротних активів загальногосподарського використання,  у тому числі:</t>
  </si>
  <si>
    <t>витрати на поліпшення основних фондів</t>
  </si>
  <si>
    <t>1050/1</t>
  </si>
  <si>
    <t>інші адміністративні витрати (розшифрувати)</t>
  </si>
  <si>
    <t>сировина та матеріали</t>
  </si>
  <si>
    <t>податки та платежі</t>
  </si>
  <si>
    <t>послуги охорони та зберігання майна</t>
  </si>
  <si>
    <t>послуги банку</t>
  </si>
  <si>
    <t>Витрати на збут, у тому числі:</t>
  </si>
  <si>
    <t>транспортні витрати</t>
  </si>
  <si>
    <t>витрати на зберігання та упаковку</t>
  </si>
  <si>
    <t>амортизація основних засобів і нематеріальних активів</t>
  </si>
  <si>
    <t>витрати на рекламу</t>
  </si>
  <si>
    <t>інші витрати на збут (розшифрувати)</t>
  </si>
  <si>
    <t>Інші операційні доходи, усього, у тому числі:</t>
  </si>
  <si>
    <t>нетипові операційні доходи (розшифрувати)</t>
  </si>
  <si>
    <t>інші операційні доходи (розшифрувати)</t>
  </si>
  <si>
    <t>від реалізації оборотних активів</t>
  </si>
  <si>
    <t>від операційної оренди активів</t>
  </si>
  <si>
    <t>суми штрафів, пені, неустойок та інших санкцій за порушення господарських договорів, які одержано від боржників за  рішенням судів</t>
  </si>
  <si>
    <t>інші доходи</t>
  </si>
  <si>
    <t>Інші операційні витрати, усього, у тому числі:</t>
  </si>
  <si>
    <t>нетипові операційні витрати (розшифрувати)</t>
  </si>
  <si>
    <t>витрати на благодійну допомогу</t>
  </si>
  <si>
    <t>відрахування до резерву сумнівних боргів</t>
  </si>
  <si>
    <t>відрахування до недержавних пенсійних фондів</t>
  </si>
  <si>
    <t>інші операційні витрати (розшифрувати)</t>
  </si>
  <si>
    <t>собівартість реалізованих виробничих запасів</t>
  </si>
  <si>
    <t>витрати на утримання, експлуатацію та забезпечення основної діяльності об'єктів соціальної інфраструктури</t>
  </si>
  <si>
    <t>перерахування профкому</t>
  </si>
  <si>
    <t>штрафи, пені</t>
  </si>
  <si>
    <t>інші витрати</t>
  </si>
  <si>
    <t>Дохід від участі в капіталі (розшифрувати)</t>
  </si>
  <si>
    <t>Втрати від участі в капіталі (розшифрувати)</t>
  </si>
  <si>
    <t>Інші фінансові доходи (розшифрувати)</t>
  </si>
  <si>
    <t>інші доходи від фінансових операцій</t>
  </si>
  <si>
    <t>Фінансові витрати (розшифрувати)</t>
  </si>
  <si>
    <t>інші фінансові витрати</t>
  </si>
  <si>
    <t>інші доходи (розшифрувати)</t>
  </si>
  <si>
    <t>інші доходи від звичайної діяльності</t>
  </si>
  <si>
    <t>витрати від передачі та/або списання майна, основних засобів тощо</t>
  </si>
  <si>
    <t>Чистий фінансовий результат, у тому числі:</t>
  </si>
  <si>
    <t>прибуток</t>
  </si>
  <si>
    <t>збиток</t>
  </si>
  <si>
    <t>Розрахунок показника EBITDA</t>
  </si>
  <si>
    <t>Фінансовий результат від операційної діяльності, рядок 1100</t>
  </si>
  <si>
    <t>плюс амортизація, рядок 1430</t>
  </si>
  <si>
    <t>мінус операційні доходи від курсових різниць, рядок 1071</t>
  </si>
  <si>
    <t>плюс операційні витрати від курсових різниць, рядок 1081</t>
  </si>
  <si>
    <t>мінус значні нетипові операційні доходи, рядок 1072</t>
  </si>
  <si>
    <t>плюс значні нетипові операційні витрати, рядок 1082</t>
  </si>
  <si>
    <t>у тому числі за основними видами діяльності за КВЕД</t>
  </si>
  <si>
    <t>Інші фонди (розшифрувати)</t>
  </si>
  <si>
    <t>Інші цілі (розшифрувати)</t>
  </si>
  <si>
    <t>доходи/витрати минулих періодів</t>
  </si>
  <si>
    <t>податок на доходи фізичних осіб</t>
  </si>
  <si>
    <t>інші податки та збори (розшифрувати)</t>
  </si>
  <si>
    <t>Сплата податків та зборів до місцевих бюджетів (податкові платежі), усього, у тому числі:</t>
  </si>
  <si>
    <t>земельний податок</t>
  </si>
  <si>
    <t>орендна плата</t>
  </si>
  <si>
    <t>податок на нерухоме майно, відмінне від земельної ділянки</t>
  </si>
  <si>
    <t>Інші податки, збори та платежі на користь держави, усього, у тому числі:</t>
  </si>
  <si>
    <t>митні платежі</t>
  </si>
  <si>
    <t>інші податки, збори та платежі (розшифрувати)</t>
  </si>
  <si>
    <t>Погашення податкового боргу, усього, у тому числі:</t>
  </si>
  <si>
    <t>погашення реструктуризованих та відстрочених сум, що підлягають сплаті в поточному році до бюджетів та державних цільових фондів</t>
  </si>
  <si>
    <t>інші (штрафи, пені, неустойки) (розшифрувати)</t>
  </si>
  <si>
    <t>ІІІ. Рух грошових коштів (за прямим методом)</t>
  </si>
  <si>
    <t>І. Рух коштів у результаті операційної діяльності</t>
  </si>
  <si>
    <t>Надходження грошових коштів від операційної діяльності</t>
  </si>
  <si>
    <t>Виручка від реалізації продукції (товарів, робіт, послуг)</t>
  </si>
  <si>
    <t>Повернення податків і зборів, у тому числі:</t>
  </si>
  <si>
    <t>податку на додану вартість</t>
  </si>
  <si>
    <t>Цільове фінансування  (розшифрувати)</t>
  </si>
  <si>
    <t>Надходження авансів від покупців і замовників</t>
  </si>
  <si>
    <t>Отримання коштів за короткостроковими зобов'язаннями, у тому числі:</t>
  </si>
  <si>
    <t>кредити</t>
  </si>
  <si>
    <t>позики</t>
  </si>
  <si>
    <t>облігації</t>
  </si>
  <si>
    <t>Інші надходження (розшифрувати)</t>
  </si>
  <si>
    <t>інше</t>
  </si>
  <si>
    <t>Видатки грошових коштів від операційної діяльності</t>
  </si>
  <si>
    <t>Розрахунки за продукцію (товари, роботи та послуги)</t>
  </si>
  <si>
    <t>Розрахунки з оплати праці</t>
  </si>
  <si>
    <t>Повернення коштів за короткостроковими зобов'язаннями, у тому числі:</t>
  </si>
  <si>
    <t>Зобов’язання з податків, зборів та інших обов’язкових платежів, у тому числі:</t>
  </si>
  <si>
    <t>податок на додану вартість</t>
  </si>
  <si>
    <t>рентна плата</t>
  </si>
  <si>
    <t>інші обов’язкові платежі, у тому числі:</t>
  </si>
  <si>
    <t>відрахування частини чистого прибутку державними підприємствами</t>
  </si>
  <si>
    <t>3146/1</t>
  </si>
  <si>
    <t>інші платежі (розшифрувати)</t>
  </si>
  <si>
    <t>Інші</t>
  </si>
  <si>
    <t>Повернення коштів до бюджету</t>
  </si>
  <si>
    <t>Інші витрати (розшифрувати)</t>
  </si>
  <si>
    <t>II. Рух коштів у результаті інвестиційної діяльності</t>
  </si>
  <si>
    <t>Надходження грошових коштів від інвестиційної діяльності</t>
  </si>
  <si>
    <t>Виручка від реалізації фінансових інвестицій</t>
  </si>
  <si>
    <t>Виручка від реалізації необоротних активів</t>
  </si>
  <si>
    <t>Надходження від продажу акцій та облігацій</t>
  </si>
  <si>
    <t>Видатки грошових коштів від інвестиційної діяльності</t>
  </si>
  <si>
    <t>Придбання (створення) основних засобів (розшифрувати)</t>
  </si>
  <si>
    <t>придбання основних засобів</t>
  </si>
  <si>
    <t>Капітальне будівництво (розшифрувати)</t>
  </si>
  <si>
    <t>фінансуваня капітального будівництва (оплата грошовими коштами)</t>
  </si>
  <si>
    <t>Придбання (створення) нематеріальних активів (розшифрувати)</t>
  </si>
  <si>
    <t>придбання нематеріальних активів</t>
  </si>
  <si>
    <t>Придбання акцій та облігацій</t>
  </si>
  <si>
    <t>III. Рух коштів у результаті фінансової діяльності</t>
  </si>
  <si>
    <t>Надходження грошових коштів від фінансової діяльності</t>
  </si>
  <si>
    <t>Надходження від власного капіталу</t>
  </si>
  <si>
    <t>Отримання коштів за довгостроковими зобов'язаннями, у тому числі:</t>
  </si>
  <si>
    <t>Видатки грошових коштів від фінансової діяльності</t>
  </si>
  <si>
    <t>Витрачання на викуп власних акцій</t>
  </si>
  <si>
    <t>Повернення коштів за довгостроковими зобов'язаннями, у тому числі:</t>
  </si>
  <si>
    <t>Сплата дивідендів</t>
  </si>
  <si>
    <t>Чистий рух коштів від фінансової діяльності </t>
  </si>
  <si>
    <t>Чистий грошовий потік</t>
  </si>
  <si>
    <t>IV. Капітальні інвестиції</t>
  </si>
  <si>
    <t>Капітальні інвестиції, усього,
у тому числі:</t>
  </si>
  <si>
    <t>Оптимальне значення</t>
  </si>
  <si>
    <t>Примітки</t>
  </si>
  <si>
    <t>Коефіцієнти рентабельності та прибутковості</t>
  </si>
  <si>
    <t>Валова рентабельність
(валовий прибуток, рядок 1020 / чистий дохід від реалізації продукції (товарів, робіт, послуг), рядок 1000) х 100, %</t>
  </si>
  <si>
    <t>Збільшення</t>
  </si>
  <si>
    <t>Рентабельність EBITDA
(EBITDA, рядок 1310 / чистий дохід від реалізації продукції (товарів, робіт, послуг), рядок 1000) х 100, %</t>
  </si>
  <si>
    <t>Рентабельність активів
(чистий фінансовий результат, рядок 1200 / вартість активів, рядок 6020) х 100, %</t>
  </si>
  <si>
    <t>Характеризує ефективність використання активів підприємства</t>
  </si>
  <si>
    <t>Рентабельність власного капіталу
(чистий фінансовий результат, рядок 1200 / власний капітал, рядок 6080) х 100, %</t>
  </si>
  <si>
    <t>Рентабельність діяльності
(чистий фінансовий результат, рядок 1200 / чистий дохід від реалізації продукції (товарів, робіт, послуг), рядок 1000) х 100, %</t>
  </si>
  <si>
    <t>Характеризує ефективність господарської діяльності підприємства</t>
  </si>
  <si>
    <t>Коефіцієнти фінансової стійкості та ліквідності</t>
  </si>
  <si>
    <t>Коефіцієнт відношення боргу до EBITDA
(довгострокові зобов'язання, рядок 6030 + поточні зобов'язання, рядок 6040) / EBITDA, рядок 1310</t>
  </si>
  <si>
    <t>Коефіцієнт фінансової стійкості
(власний капітал, рядок 6080 / (довгострокові зобов'язання, рядок 6030 + поточні зобов'язання, рядок 6040))</t>
  </si>
  <si>
    <t>&gt; 1</t>
  </si>
  <si>
    <t>Характеризує співвідношення власних та позикових коштів і залежність підприємства від зовнішніх фінансових джерел</t>
  </si>
  <si>
    <t>Коефіцієнт поточної ліквідності (покриття)
(оборотні активи, рядок 6010 / поточні зобов'язання, рядок 6040)</t>
  </si>
  <si>
    <t>Показує достатність ресурсів підприємства, які може бути використано для погашення його поточних зобов'язань.  Нормативним значенням для цього показника є &gt; 1–1,5</t>
  </si>
  <si>
    <t>Аналіз капітальних інвестицій</t>
  </si>
  <si>
    <t>Коефіцієнт відношення капітальних інвестицій до амортизації
(капітальні інвестиції, рядок 4000 / амортизація, рядок 1430)</t>
  </si>
  <si>
    <t>Коефіцієнт відношення капітальних інвестицій до чистого доходу від реалізації продукції (товарів, робіт, послуг)
(капітальні інвестиції, рядок 4000 / чистий дохід від реалізації продукції (товарів, робіт, послуг), рядок 1000)</t>
  </si>
  <si>
    <t>Коефіцієнт зносу основних засобів 
(сума зносу, рядок 6003 / первісна вартість основних засобів, рядок 6002)</t>
  </si>
  <si>
    <t>Зменшення</t>
  </si>
  <si>
    <t>Характеризує інвестиційну політику підприємства</t>
  </si>
  <si>
    <t>Ковенанти/обмежувальні коефіцієнти</t>
  </si>
  <si>
    <t>Інші коефіцієнти/ковенанти, якщо такі передбачені умовами кредитних договорів, із зазначенням банку, валюти та суми зобов'язання на дату останньої звітності, строку погашення. У графі "Оптимальне значення" вказати граничне значення коефіцієнта</t>
  </si>
  <si>
    <t>Інформація</t>
  </si>
  <si>
    <t>(найменування підприємства)</t>
  </si>
  <si>
    <t>1. Дані про підприємство, персонал та фонд заробітної плати</t>
  </si>
  <si>
    <t>Загальна інформація про підприємство (резюме)</t>
  </si>
  <si>
    <t>Факт
відповідного періоду минулого року</t>
  </si>
  <si>
    <t>План
звітного періоду</t>
  </si>
  <si>
    <t>Факт
звітного періоду</t>
  </si>
  <si>
    <t>Відхилення,  +/–
(Факт звітного періоду /
План звітного періоду)</t>
  </si>
  <si>
    <t>Виконання, %
(Факт звітного періоду /
План звітного періоду)</t>
  </si>
  <si>
    <t>Середня кількість працівників (штатних працівників, зовнішніх сумісників та працівників, що працюють за цивільно-правовими договорами),
у тому числі:</t>
  </si>
  <si>
    <t>У разі збільшення витрат на оплату праці в плановому році порівняно з установленим рівнем поточного року та фактом попереднього року надаються обґрунтування.</t>
  </si>
  <si>
    <t>2. Перелік підприємств, які включені до консолідованого (зведеного) фінансового плану</t>
  </si>
  <si>
    <t>Код за ЄДРПОУ</t>
  </si>
  <si>
    <t>Найменування підприємства</t>
  </si>
  <si>
    <t>Вид діяльності</t>
  </si>
  <si>
    <t>3. Інформація про бізнес підприємства (код рядка 1000 фінансового плану)</t>
  </si>
  <si>
    <t>Найменування видів діяльності за КВЕД</t>
  </si>
  <si>
    <t>План</t>
  </si>
  <si>
    <t>Факт</t>
  </si>
  <si>
    <t>Відхилення,  +/–</t>
  </si>
  <si>
    <t>Виконання, %</t>
  </si>
  <si>
    <t>Зміна ціни одиниці  (вартості продукції/     наданих послуг)</t>
  </si>
  <si>
    <t>чистий дохід  від реалізації продукції (товарів, робіт, послуг),     тис. гривень</t>
  </si>
  <si>
    <t>кількість продукції/ наданих послуг, одиниця виміру</t>
  </si>
  <si>
    <t>ціна одиниці     (вартість  продукції/     наданих послуг), гривень</t>
  </si>
  <si>
    <t>чистий дохід  від реалізації продукції (товарів, робіт, послуг)</t>
  </si>
  <si>
    <t>кількість продукції/ наданих послуг</t>
  </si>
  <si>
    <t>Дiяльнiсть морського вантажного транспорту</t>
  </si>
  <si>
    <t>Дiяльнiсть вантажного рiчкового транспорту</t>
  </si>
  <si>
    <t>Дiяльнiсть пасажирського рiчкового транспорту</t>
  </si>
  <si>
    <t>Будування та ремонт суден</t>
  </si>
  <si>
    <t>4. Діючі фінансові зобов'язання підприємства</t>
  </si>
  <si>
    <t>Найменування  банку</t>
  </si>
  <si>
    <t>Вид кредитного продукту та цільове призначення</t>
  </si>
  <si>
    <t>Сума, валюта за договорами</t>
  </si>
  <si>
    <t>Процентна ставка</t>
  </si>
  <si>
    <t>Дата видачі/погашення (графік)</t>
  </si>
  <si>
    <t>Забезпечення</t>
  </si>
  <si>
    <t>ДП АМПУ</t>
  </si>
  <si>
    <t>зворотна фінансова допомога</t>
  </si>
  <si>
    <t>16.12.13 р.</t>
  </si>
  <si>
    <t>х</t>
  </si>
  <si>
    <t>5. Інформація щодо отримання та повернення залучених коштів</t>
  </si>
  <si>
    <t>Зобов'язання</t>
  </si>
  <si>
    <t>Заборгованість за кредитами на початок звітного періоду</t>
  </si>
  <si>
    <t>Отримано залучених коштів за звітний період</t>
  </si>
  <si>
    <t>Повернено залучених коштів  за звітний період</t>
  </si>
  <si>
    <t>Заборгованість на кінець звітного періоду</t>
  </si>
  <si>
    <t>Довгострокові зобов'язання, усього</t>
  </si>
  <si>
    <t>у тому числі:</t>
  </si>
  <si>
    <t>Короткострокові зобов'язання, усього</t>
  </si>
  <si>
    <t>Інші фінансові зобов'язання, усього</t>
  </si>
  <si>
    <t>6. Витрати, пов'язані з використанням власних службових автомобілів (у складі адміністративних витрат, рядок 1031)</t>
  </si>
  <si>
    <t>№ з/п</t>
  </si>
  <si>
    <t>Марка</t>
  </si>
  <si>
    <t>Рік придбання</t>
  </si>
  <si>
    <t>Мета використання</t>
  </si>
  <si>
    <t>Витрати, усього</t>
  </si>
  <si>
    <t>Відхилення,  +/–
(факт звітного періоду /
план звітного періоду)</t>
  </si>
  <si>
    <t>Виконання, %
(факт звітного періоду /
план звітного періоду)</t>
  </si>
  <si>
    <t>факт
відповідного періоду
минулого року</t>
  </si>
  <si>
    <t>план
звітного періоду</t>
  </si>
  <si>
    <t>факт
звітного періоду</t>
  </si>
  <si>
    <t>Volvo 960 6670 СО</t>
  </si>
  <si>
    <t>Службові перевезення</t>
  </si>
  <si>
    <t>VW Passat 3436 ЕВ</t>
  </si>
  <si>
    <t>Audi A6 8441 СК</t>
  </si>
  <si>
    <t>LandCruiser 4171 АО</t>
  </si>
  <si>
    <t>VW Caravella 4632 СІ</t>
  </si>
  <si>
    <t>Мікроавтобус, службові перевезення</t>
  </si>
  <si>
    <t>ГАЗель 3221 6850 СМ</t>
  </si>
  <si>
    <t>Hyundai Sonata 6681 СК</t>
  </si>
  <si>
    <t>Hyundai Sonata 6682 СК</t>
  </si>
  <si>
    <t>VW Caravella 0689 СР</t>
  </si>
  <si>
    <t>BMW 316 7856 СА</t>
  </si>
  <si>
    <t>VW Passat 3452 ЕВ</t>
  </si>
  <si>
    <t>Mercedes 6690 СМ</t>
  </si>
  <si>
    <t>Volvo 940 3429 ЕВ</t>
  </si>
  <si>
    <t>Toyota Prado 2626 СО</t>
  </si>
  <si>
    <t>Daewoo Espero 2963 ЕЕ</t>
  </si>
  <si>
    <t>Toyota 5200ЕН</t>
  </si>
  <si>
    <t>Службові перевезення (КСБСРЗ)</t>
  </si>
  <si>
    <t>Газель 4696 ВН</t>
  </si>
  <si>
    <t>Mitsubishi Pajero 5200 СО</t>
  </si>
  <si>
    <t>Daewoo 4963 ВН</t>
  </si>
  <si>
    <t>7. Витрати на оренду службових автомобілів (у складі адміністративних витрат, рядок 1032)</t>
  </si>
  <si>
    <t>Договір</t>
  </si>
  <si>
    <t>Дата початку оренди</t>
  </si>
  <si>
    <t>8. Джерела капітальних інвестицій</t>
  </si>
  <si>
    <t>тис. гривень (без ПДВ)</t>
  </si>
  <si>
    <t>Найменування об’єкта</t>
  </si>
  <si>
    <t>Залучення кредитних коштів</t>
  </si>
  <si>
    <t>Бюджетне фінансування</t>
  </si>
  <si>
    <t>Власні кошти (розшифрувати)</t>
  </si>
  <si>
    <t>Інші джерела (розшифрувати)</t>
  </si>
  <si>
    <t>I</t>
  </si>
  <si>
    <t>Капітальне будівництво</t>
  </si>
  <si>
    <t>-</t>
  </si>
  <si>
    <t>Капітальне будівництво баржі типу SLG на КСБСРЗ</t>
  </si>
  <si>
    <t>II</t>
  </si>
  <si>
    <t>Придбання (виготовлення) основних засобів</t>
  </si>
  <si>
    <t>Придбання засобів зв'язку та електрорадіонавігаційного обладнання для флоту</t>
  </si>
  <si>
    <t>Придбання оргтехніки</t>
  </si>
  <si>
    <t>Побутова техніка для флоту (на виконання вимог СЕС)</t>
  </si>
  <si>
    <t>III</t>
  </si>
  <si>
    <t>Придбання (виготовлення) інших необоротних матеріальних активів</t>
  </si>
  <si>
    <t>IV</t>
  </si>
  <si>
    <t>Придбання (створення) нематеріальних активів</t>
  </si>
  <si>
    <t>V</t>
  </si>
  <si>
    <t>Модернізація, модифікація (добудова, дообладнання, реконструкція) основних засобів</t>
  </si>
  <si>
    <t>Модернізація річкових буксирів із заміною силової енергетичної установки</t>
  </si>
  <si>
    <t>Модернізація системи опалення адмінбудови</t>
  </si>
  <si>
    <t>VI</t>
  </si>
  <si>
    <t>Капітальний ремонт</t>
  </si>
  <si>
    <t>Відсоток</t>
  </si>
  <si>
    <t>9. Капітальне будівництво (рядок 4010 таблиці 4)</t>
  </si>
  <si>
    <t>№</t>
  </si>
  <si>
    <t>Найменування об’єктів</t>
  </si>
  <si>
    <t>Рік початку і закінчення будівництва</t>
  </si>
  <si>
    <t>Загальна кошторисна вартість</t>
  </si>
  <si>
    <t>Первісна балансова вартість введених потужностей на початок звітного періоду</t>
  </si>
  <si>
    <t>Незавершене будівництво на початок звітного періоду</t>
  </si>
  <si>
    <t>Інформація щодо проектно-кошторисної документації (стан розроблення, затвердження, у разі затвердження зазначити орган, яким затверджено, та відповідний документ)</t>
  </si>
  <si>
    <t>Документ, яким затверджений титул будови, із зазначенням органу, який його погодив</t>
  </si>
  <si>
    <t>освоєння капітальних вкладень</t>
  </si>
  <si>
    <t>фінансування капітальних інвестицій (оплата грошовими коштами), усього</t>
  </si>
  <si>
    <t>у тому числі</t>
  </si>
  <si>
    <t>кредитні кошти</t>
  </si>
  <si>
    <t>інші джерела (зазначити джерело)</t>
  </si>
  <si>
    <t>1018/1</t>
  </si>
  <si>
    <t>1018/2</t>
  </si>
  <si>
    <t>1018/3</t>
  </si>
  <si>
    <t>1051/1</t>
  </si>
  <si>
    <t>1051/2</t>
  </si>
  <si>
    <t>1051/3</t>
  </si>
  <si>
    <t>1051/4</t>
  </si>
  <si>
    <t>1051/5</t>
  </si>
  <si>
    <t>1073/1</t>
  </si>
  <si>
    <t>1073/2</t>
  </si>
  <si>
    <t>1073/3</t>
  </si>
  <si>
    <t>1073/4</t>
  </si>
  <si>
    <t>1073/5</t>
  </si>
  <si>
    <t>1086/1</t>
  </si>
  <si>
    <t>1086/2</t>
  </si>
  <si>
    <t>1086/3</t>
  </si>
  <si>
    <t>1086/4</t>
  </si>
  <si>
    <t>1086/5</t>
  </si>
  <si>
    <t>доходи від фінансових інвестицій</t>
  </si>
  <si>
    <t>1152/1</t>
  </si>
  <si>
    <t>1067/1</t>
  </si>
  <si>
    <t>1162/1</t>
  </si>
  <si>
    <t>1162/2</t>
  </si>
  <si>
    <t>військовий збір</t>
  </si>
  <si>
    <t>2119/1</t>
  </si>
  <si>
    <t>2124/1</t>
  </si>
  <si>
    <t>2124/2</t>
  </si>
  <si>
    <t>3060/1</t>
  </si>
  <si>
    <t>3060/2</t>
  </si>
  <si>
    <t>єдиний соціальний внесок</t>
  </si>
  <si>
    <t>3150/1</t>
  </si>
  <si>
    <t>3150/2</t>
  </si>
  <si>
    <t>3150/3</t>
  </si>
  <si>
    <t>3150/4</t>
  </si>
  <si>
    <t>відрахування частини чистого прибутку до фонду на виплату дивідендів на державну частку господарськими товариствами, 100% акцій яких належить державі</t>
  </si>
  <si>
    <t>3150/5</t>
  </si>
  <si>
    <t>штрафи</t>
  </si>
  <si>
    <t>2142/1</t>
  </si>
  <si>
    <t>3260/1</t>
  </si>
  <si>
    <t>3265/1</t>
  </si>
  <si>
    <t>3270/1</t>
  </si>
  <si>
    <t>3280/1</t>
  </si>
  <si>
    <t xml:space="preserve">Заборгованість на останню дату </t>
  </si>
  <si>
    <t>3240/1</t>
  </si>
  <si>
    <t>2060/1</t>
  </si>
  <si>
    <t>3150/6</t>
  </si>
  <si>
    <t xml:space="preserve">інші </t>
  </si>
  <si>
    <t>інші (дивіденди СП)</t>
  </si>
  <si>
    <t xml:space="preserve">Придбання іншого обладнання </t>
  </si>
  <si>
    <t>Придбання іншого ліцензійного програмного забезпечення (у тому числі електронні карти для суден)</t>
  </si>
  <si>
    <t>вул. Пароходна, 28, м. Ізмаїл, Одеська обл., 68600, Україна</t>
  </si>
  <si>
    <t>ПрАТ "УДП"</t>
  </si>
  <si>
    <t>2060/2</t>
  </si>
  <si>
    <t>дохід від списання кредиторської заборгованості, щодо якої минув строк позову</t>
  </si>
  <si>
    <t xml:space="preserve">ПРО ВИКОНАННЯ ФІНАНСОВОГО ПЛАНУ </t>
  </si>
  <si>
    <t>Фонд оплати праці, тис. грн, у тому числі:</t>
  </si>
  <si>
    <t>Витрати на оплату праці, тис. грн, у тому числі:</t>
  </si>
  <si>
    <t>Середньомісячні витрати на оплату праці одного працівника (грн), усього,
у тому числі:</t>
  </si>
  <si>
    <t>відсотки по кредиту</t>
  </si>
  <si>
    <t>3170/2</t>
  </si>
  <si>
    <t>Ренновація пасажирського флоту</t>
  </si>
  <si>
    <t>навігаційні, канальні, стивідорні, лінійне буксирування</t>
  </si>
  <si>
    <t>Відновлювальна кредитна лінія з лімітом 30 млн. грн.</t>
  </si>
  <si>
    <t>Капітальний ремонт та модернізація машини газокисневого різання типу "ТЕЛЕРЕКС ТКСА 60 Н-1600"</t>
  </si>
  <si>
    <t>Відсотки банку за кредит</t>
  </si>
  <si>
    <t>Придбання систем моніторингу витрати палива для 2 річкових суден</t>
  </si>
  <si>
    <t>Капітальний ремонт берегових споруд</t>
  </si>
  <si>
    <t>2кв</t>
  </si>
  <si>
    <t>3кв</t>
  </si>
  <si>
    <t>3170/1</t>
  </si>
  <si>
    <t>ПАТ "Укрексімбанк"</t>
  </si>
  <si>
    <t>відновлювальна кредитна лінія з лімітом 30 млн. грн.</t>
  </si>
  <si>
    <t>15 000 тис. грн.</t>
  </si>
  <si>
    <t>30 000 тис.грн.</t>
  </si>
  <si>
    <t>Toyota Prado 2655 СО</t>
  </si>
  <si>
    <t>Toyota 6330 АА</t>
  </si>
  <si>
    <t>VW 2687 АА</t>
  </si>
  <si>
    <t>Daewoo 435-93 ОА</t>
  </si>
  <si>
    <t>18,68% річних</t>
  </si>
  <si>
    <t>11.04.17 р.</t>
  </si>
  <si>
    <t>Майнові права на виручку за договорами</t>
  </si>
  <si>
    <t xml:space="preserve">Залишкова вартість списаного та реалізованого майна </t>
  </si>
  <si>
    <t>В.о. голови Правління ПрАТ "УДП"</t>
  </si>
  <si>
    <t>6 мес</t>
  </si>
  <si>
    <t>"Mitsubishi Pajero", Mercedes E200 7509 ВЕ, VW</t>
  </si>
  <si>
    <t>Капітальний ремонт т/х "Зенит"</t>
  </si>
  <si>
    <t>Баржа UDP-SLG-021</t>
  </si>
  <si>
    <t>Придбання програмного забезпечення для тренажрів РТЛ та ГМССБ (учбовий центр)</t>
  </si>
  <si>
    <t>Дивіденди СП: DS Панама - 10 998,0; Dunavski Trasport D.O.O. - 405,6; United Stevedoring- 1 389,5; ДМС -328,1; Трансхолд КФТ -291,7; Трансшип - 505,8</t>
  </si>
  <si>
    <t>Д.С. Чалий</t>
  </si>
  <si>
    <t>Звітний період (2017 р.)</t>
  </si>
  <si>
    <t>Факт за 2017 р.</t>
  </si>
  <si>
    <t>до фінансового плану за 2017 р.</t>
  </si>
  <si>
    <t xml:space="preserve">за Рік 2017 </t>
  </si>
  <si>
    <t xml:space="preserve">ПрАТ “Українське Дунайське пароплавство” із 100% пакетом акцій, що належать державі в особі Міністерства інфраструктури України (державна корпоративна власність), безпосередньо підпорядковано Департаменту морського та річкового транспорту. 
Українське Дунайське пароплавство було створено в 1944 році під назвою “Радянське Дунайське державне пароплавство” з місцезнаходженням у м. Ізмаїлі та у 1994 р. було перетворено у відкрите акціонерне товариство.
Основними видами діяльності ПрАТ “УДП” є: внутрішні та міжнародні перевезення пасажирів та вантажів морським і річковим транспортом;  суднобудування та судноремонт.
На кінець 2017 року на балансі ПрАТ “УДП” знаходилось 428 суден. 
</t>
  </si>
  <si>
    <t>Обґрунтування збільшення витрат на оплату праці в поточному році порівняно з установленим рівнем та фактом попереднього року надаються в пояснювальній записці про фінансово-господарську діяльність ПрАТ “УДП” за 2017 рік</t>
  </si>
  <si>
    <t>59 од.</t>
  </si>
  <si>
    <t>Собівартість реалізованих товарів (металобрухт від розділу барж по дозволам 2016 р.)  - 6 241,2; туристичне обслуговування - 17 770,8; харчування пасажирів, утримання ресторанів, барів - 25 370,8; спецфонд-2 816,5; раціон кол. харчування - 8 509,2; страхування - 7 271,3;  мастила - 1 957,0; послуги зі сторони - 1 897,6; охорона праці-470,2; відрядження - 719,3; утримання засобів зв҆язку - 251,9; контрагентські - 4 080,3; списання матеріалів при наданні послуг пасажирам- 195,1; медичні - 398,1; податки -1 447,5; санінструктаж, ветпослуги - 185,0; інші - 2 275,5</t>
  </si>
  <si>
    <t>Електроенергія - 1 456,6; утримання газової котельні- 468,4; ремонт- 645,6; інші- 579,2</t>
  </si>
  <si>
    <t>Проектні роботи (будівництво баржі типу SLG) - 420,0; послуги з проведення аукціону (реалізація морських суден за договорами 2014 р.) - 450,0; пільгова пенсія КСБСРЗ - 977,5; оплата перших 5 днів лікарняних -123,6; представницькі- 204,4; канцелярські, поштово-телеграфні витрати - 168,6; право користув. програм. забезпечен. - 58,7; витрати на утримання засобів зв҆ язку - 265,8; Регістр - 67,1; утримання газети "Дунаєць" - 86,5; інші - 229,8</t>
  </si>
  <si>
    <t>Комісійні з фрахту-10 123,9; проведення торгів КСБСРЗ - 263,0; форс-мажор т/х "Молдавія"-230,6, інші -0,2</t>
  </si>
  <si>
    <t>Реалізація залишків палива при передачі суден у чартер, при реалізації - 4 491,6; реалізація металобрухту від списання майна - 8 255,0; КСБСРЗ - 683,9</t>
  </si>
  <si>
    <t>Оренда приміщень адміністративних будинків, автомашин тощо - 1 318,9; оренда приміщень Учбового центру - 1 019,6; КСБСРЗ - 214,5</t>
  </si>
  <si>
    <t>Відшкодування витрат, комунальних послуг орендарями - 3 401,1; КСБСРЗ -687,6; Учбовий центр - 974,8; б/в "Восток" - 72,0; інші - -7,9</t>
  </si>
  <si>
    <t>Собівартість реалізованих залишків палива річкових суден при передачі у чартер - 4 654,9; КСБСРЗ - 447,3</t>
  </si>
  <si>
    <t>Утримання стадіону - 490,0; Клуб моряків - 159,8; культ. спорт. комплекс - 157,2; музей - 93,6; б/в "Судноремонтник" -166,8; спорткомплекс КСБСРЗ - 431,4</t>
  </si>
  <si>
    <t>Штраф за порушення термінів по уплаті ЄСВ за 2013-2014 рр.-1 530,3; штраф за порушення правил перевезень-323,6; інші-30,4</t>
  </si>
  <si>
    <t>Реалізація іноземної валюти - 193,2; розпилювання на металобрухт - 2 370,1; ритуальні - 312,0; паливо - 327,1; мастила - 254,6; частина використання нарахованого ПДВ - 1 227,8; відрахування на соціальні заходи - 233,2; витрати по фрахту -1 270,2; відображення рез. перев.по ПДВ - 721,8; інші- 769,6</t>
  </si>
  <si>
    <t>Реалізація необоротних активів (т/х «Александр Аржавкин», т/х "Дунай") - 8 918,6 запаси,отримані під час ремонту та модернізації - 10 709,5 доходи від страхової компенсації збитку від аварії т/х "Молдавия"- 8 062,8; інші - 517,7</t>
  </si>
  <si>
    <t>Відповідно Колдоговору виплата допомоги ветеранам при виході на пенсію - 1718,6;матеріальна допомога - 114,4; заохочення ювілярам - 25,6; інші - 13</t>
  </si>
  <si>
    <t>Н.О. Караджа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</si>
</sst>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0000000"/>
    <numFmt numFmtId="165" formatCode="[=0]&quot;&quot;;General"/>
    <numFmt numFmtId="166" formatCode="#,##0.0"/>
    <numFmt numFmtId="167" formatCode="0.0"/>
    <numFmt numFmtId="168" formatCode="[=-20.5]&quot;(20,5)&quot;;General"/>
  </numFmts>
  <fonts count="16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color indexed="9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color indexed="9"/>
      <name val="Arial"/>
      <family val="2"/>
      <charset val="204"/>
    </font>
    <font>
      <b/>
      <sz val="10"/>
      <color indexed="9"/>
      <name val="Arial"/>
      <family val="2"/>
      <charset val="204"/>
    </font>
    <font>
      <sz val="8"/>
      <color indexed="9"/>
      <name val="Arial"/>
      <family val="2"/>
      <charset val="204"/>
    </font>
    <font>
      <sz val="9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3">
    <xf numFmtId="0" fontId="0" fillId="0" borderId="0" xfId="0"/>
    <xf numFmtId="1" fontId="2" fillId="0" borderId="0" xfId="1" applyNumberFormat="1" applyFont="1" applyFill="1" applyAlignment="1">
      <alignment horizontal="center" vertical="center" wrapText="1"/>
    </xf>
    <xf numFmtId="0" fontId="2" fillId="0" borderId="2" xfId="1" applyFont="1" applyFill="1" applyBorder="1" applyAlignment="1">
      <alignment horizontal="left" vertical="top" wrapText="1"/>
    </xf>
    <xf numFmtId="0" fontId="3" fillId="0" borderId="2" xfId="1" applyFont="1" applyFill="1" applyBorder="1" applyAlignment="1">
      <alignment horizontal="left" vertical="top" wrapText="1"/>
    </xf>
    <xf numFmtId="166" fontId="2" fillId="0" borderId="2" xfId="1" quotePrefix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 wrapText="1"/>
    </xf>
    <xf numFmtId="0" fontId="4" fillId="0" borderId="0" xfId="1" applyFont="1" applyFill="1" applyBorder="1" applyAlignment="1">
      <alignment horizontal="left" wrapText="1"/>
    </xf>
    <xf numFmtId="0" fontId="2" fillId="0" borderId="2" xfId="1" applyFont="1" applyFill="1" applyBorder="1" applyAlignment="1">
      <alignment horizontal="center" wrapText="1"/>
    </xf>
    <xf numFmtId="0" fontId="4" fillId="0" borderId="0" xfId="1" applyFont="1" applyFill="1" applyAlignment="1">
      <alignment horizontal="center" wrapText="1"/>
    </xf>
    <xf numFmtId="0" fontId="1" fillId="0" borderId="0" xfId="1" applyFill="1"/>
    <xf numFmtId="1" fontId="3" fillId="0" borderId="2" xfId="1" applyNumberFormat="1" applyFont="1" applyFill="1" applyBorder="1" applyAlignment="1">
      <alignment horizontal="center" vertical="center" wrapText="1"/>
    </xf>
    <xf numFmtId="0" fontId="1" fillId="0" borderId="0" xfId="1" applyFill="1" applyAlignment="1">
      <alignment horizontal="left" wrapText="1"/>
    </xf>
    <xf numFmtId="0" fontId="7" fillId="0" borderId="0" xfId="1" applyFont="1" applyFill="1" applyAlignment="1">
      <alignment horizontal="left" wrapText="1"/>
    </xf>
    <xf numFmtId="166" fontId="7" fillId="0" borderId="0" xfId="1" applyNumberFormat="1" applyFont="1" applyFill="1" applyAlignment="1">
      <alignment horizontal="left" wrapText="1"/>
    </xf>
    <xf numFmtId="164" fontId="2" fillId="0" borderId="2" xfId="1" applyNumberFormat="1" applyFont="1" applyFill="1" applyBorder="1" applyAlignment="1">
      <alignment horizontal="center" wrapText="1"/>
    </xf>
    <xf numFmtId="167" fontId="2" fillId="0" borderId="2" xfId="1" applyNumberFormat="1" applyFont="1" applyFill="1" applyBorder="1" applyAlignment="1">
      <alignment horizontal="right" vertical="center" wrapText="1"/>
    </xf>
    <xf numFmtId="0" fontId="2" fillId="0" borderId="2" xfId="1" applyFont="1" applyFill="1" applyBorder="1" applyAlignment="1">
      <alignment horizontal="right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1" fontId="2" fillId="0" borderId="2" xfId="1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wrapText="1"/>
    </xf>
    <xf numFmtId="166" fontId="3" fillId="0" borderId="2" xfId="1" quotePrefix="1" applyNumberFormat="1" applyFont="1" applyFill="1" applyBorder="1" applyAlignment="1">
      <alignment horizontal="center" vertical="center" wrapText="1"/>
    </xf>
    <xf numFmtId="0" fontId="3" fillId="0" borderId="5" xfId="1" quotePrefix="1" applyFont="1" applyFill="1" applyBorder="1" applyAlignment="1">
      <alignment horizontal="left" wrapText="1"/>
    </xf>
    <xf numFmtId="0" fontId="8" fillId="0" borderId="0" xfId="1" applyFont="1" applyFill="1" applyAlignment="1">
      <alignment horizontal="left" wrapText="1"/>
    </xf>
    <xf numFmtId="0" fontId="9" fillId="0" borderId="0" xfId="1" applyFont="1" applyFill="1" applyAlignment="1">
      <alignment horizontal="left" wrapText="1"/>
    </xf>
    <xf numFmtId="166" fontId="4" fillId="0" borderId="0" xfId="1" applyNumberFormat="1" applyFont="1" applyFill="1" applyAlignment="1">
      <alignment horizontal="left" wrapText="1"/>
    </xf>
    <xf numFmtId="0" fontId="10" fillId="0" borderId="0" xfId="1" applyFont="1" applyFill="1" applyAlignment="1">
      <alignment horizontal="left" wrapText="1"/>
    </xf>
    <xf numFmtId="166" fontId="10" fillId="0" borderId="0" xfId="1" applyNumberFormat="1" applyFont="1" applyFill="1" applyAlignment="1">
      <alignment horizontal="left" wrapText="1"/>
    </xf>
    <xf numFmtId="0" fontId="11" fillId="0" borderId="0" xfId="1" applyFont="1" applyFill="1" applyAlignment="1">
      <alignment horizontal="left" wrapText="1"/>
    </xf>
    <xf numFmtId="0" fontId="12" fillId="0" borderId="0" xfId="1" applyFont="1" applyFill="1"/>
    <xf numFmtId="0" fontId="3" fillId="0" borderId="0" xfId="1" applyFont="1" applyFill="1" applyAlignment="1">
      <alignment horizontal="center" vertical="top" wrapText="1"/>
    </xf>
    <xf numFmtId="0" fontId="3" fillId="0" borderId="2" xfId="1" applyFont="1" applyFill="1" applyBorder="1" applyAlignment="1">
      <alignment horizontal="left" vertical="center" wrapText="1"/>
    </xf>
    <xf numFmtId="166" fontId="2" fillId="0" borderId="2" xfId="1" applyNumberFormat="1" applyFont="1" applyFill="1" applyBorder="1" applyAlignment="1">
      <alignment horizontal="center" vertical="center" wrapText="1"/>
    </xf>
    <xf numFmtId="0" fontId="13" fillId="0" borderId="0" xfId="1" quotePrefix="1" applyFont="1" applyFill="1" applyAlignment="1">
      <alignment horizontal="left" vertical="center" wrapText="1"/>
    </xf>
    <xf numFmtId="0" fontId="13" fillId="0" borderId="0" xfId="1" applyFont="1" applyFill="1" applyAlignment="1">
      <alignment horizontal="left" vertical="center" wrapText="1"/>
    </xf>
    <xf numFmtId="166" fontId="3" fillId="0" borderId="2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2" fillId="0" borderId="4" xfId="1" applyFont="1" applyFill="1" applyBorder="1" applyAlignment="1">
      <alignment horizontal="left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left" wrapText="1"/>
    </xf>
    <xf numFmtId="0" fontId="2" fillId="0" borderId="2" xfId="1" quotePrefix="1" applyFont="1" applyFill="1" applyBorder="1" applyAlignment="1">
      <alignment horizontal="left" wrapText="1"/>
    </xf>
    <xf numFmtId="0" fontId="2" fillId="0" borderId="2" xfId="1" applyFont="1" applyFill="1" applyBorder="1" applyAlignment="1">
      <alignment horizontal="left" wrapText="1"/>
    </xf>
    <xf numFmtId="0" fontId="2" fillId="0" borderId="1" xfId="1" applyFont="1" applyFill="1" applyBorder="1" applyAlignment="1">
      <alignment horizontal="left" wrapText="1"/>
    </xf>
    <xf numFmtId="0" fontId="2" fillId="0" borderId="2" xfId="1" applyFont="1" applyFill="1" applyBorder="1" applyAlignment="1">
      <alignment wrapText="1"/>
    </xf>
    <xf numFmtId="0" fontId="2" fillId="0" borderId="0" xfId="1" applyFont="1" applyFill="1" applyBorder="1" applyAlignment="1">
      <alignment horizontal="left" wrapText="1"/>
    </xf>
    <xf numFmtId="0" fontId="3" fillId="0" borderId="2" xfId="1" applyFont="1" applyFill="1" applyBorder="1" applyAlignment="1">
      <alignment horizontal="left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quotePrefix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3" fillId="0" borderId="0" xfId="1" applyFont="1" applyFill="1" applyAlignment="1">
      <alignment horizontal="left" wrapText="1"/>
    </xf>
    <xf numFmtId="1" fontId="2" fillId="0" borderId="2" xfId="1" applyNumberFormat="1" applyFont="1" applyFill="1" applyBorder="1" applyAlignment="1">
      <alignment horizontal="center" vertical="center" wrapText="1"/>
    </xf>
    <xf numFmtId="167" fontId="2" fillId="0" borderId="2" xfId="1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 wrapText="1"/>
    </xf>
    <xf numFmtId="1" fontId="3" fillId="0" borderId="2" xfId="1" applyNumberFormat="1" applyFont="1" applyFill="1" applyBorder="1" applyAlignment="1">
      <alignment horizontal="center" wrapText="1"/>
    </xf>
    <xf numFmtId="0" fontId="5" fillId="0" borderId="2" xfId="1" applyFont="1" applyFill="1" applyBorder="1" applyAlignment="1">
      <alignment horizontal="center" vertical="top" wrapText="1"/>
    </xf>
    <xf numFmtId="1" fontId="2" fillId="0" borderId="2" xfId="1" applyNumberFormat="1" applyFont="1" applyFill="1" applyBorder="1" applyAlignment="1">
      <alignment horizontal="center" wrapText="1"/>
    </xf>
    <xf numFmtId="0" fontId="6" fillId="0" borderId="2" xfId="1" applyFont="1" applyFill="1" applyBorder="1" applyAlignment="1">
      <alignment horizontal="center" vertical="top" wrapText="1"/>
    </xf>
    <xf numFmtId="0" fontId="6" fillId="0" borderId="2" xfId="1" quotePrefix="1" applyFont="1" applyFill="1" applyBorder="1" applyAlignment="1">
      <alignment horizontal="center" wrapText="1"/>
    </xf>
    <xf numFmtId="0" fontId="6" fillId="0" borderId="2" xfId="1" quotePrefix="1" applyFont="1" applyFill="1" applyBorder="1" applyAlignment="1">
      <alignment horizontal="center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quotePrefix="1" applyFont="1" applyFill="1" applyBorder="1" applyAlignment="1">
      <alignment horizontal="center" vertical="center" wrapText="1"/>
    </xf>
    <xf numFmtId="166" fontId="14" fillId="0" borderId="2" xfId="1" applyNumberFormat="1" applyFont="1" applyFill="1" applyBorder="1" applyAlignment="1">
      <alignment horizontal="center" vertical="center" wrapText="1"/>
    </xf>
    <xf numFmtId="0" fontId="15" fillId="0" borderId="0" xfId="1" applyFont="1" applyFill="1" applyAlignment="1">
      <alignment horizontal="left" wrapText="1"/>
    </xf>
    <xf numFmtId="0" fontId="6" fillId="0" borderId="3" xfId="1" applyFont="1" applyFill="1" applyBorder="1" applyAlignment="1">
      <alignment horizontal="left" wrapText="1"/>
    </xf>
    <xf numFmtId="167" fontId="3" fillId="0" borderId="2" xfId="1" applyNumberFormat="1" applyFont="1" applyFill="1" applyBorder="1" applyAlignment="1">
      <alignment horizontal="center" vertical="center" wrapText="1"/>
    </xf>
    <xf numFmtId="166" fontId="6" fillId="0" borderId="2" xfId="1" applyNumberFormat="1" applyFont="1" applyFill="1" applyBorder="1" applyAlignment="1">
      <alignment horizontal="center" vertical="center" wrapText="1"/>
    </xf>
    <xf numFmtId="167" fontId="6" fillId="0" borderId="2" xfId="1" applyNumberFormat="1" applyFont="1" applyFill="1" applyBorder="1" applyAlignment="1">
      <alignment horizontal="center" vertical="center" wrapText="1"/>
    </xf>
    <xf numFmtId="166" fontId="6" fillId="0" borderId="2" xfId="1" quotePrefix="1" applyNumberFormat="1" applyFont="1" applyFill="1" applyBorder="1" applyAlignment="1">
      <alignment horizontal="center" vertical="center" wrapText="1"/>
    </xf>
    <xf numFmtId="0" fontId="2" fillId="0" borderId="2" xfId="2" quotePrefix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top" wrapText="1"/>
    </xf>
    <xf numFmtId="0" fontId="3" fillId="0" borderId="0" xfId="1" applyFont="1" applyFill="1" applyAlignment="1">
      <alignment horizontal="center" wrapText="1"/>
    </xf>
    <xf numFmtId="0" fontId="3" fillId="0" borderId="5" xfId="1" applyFont="1" applyFill="1" applyBorder="1" applyAlignment="1">
      <alignment horizontal="left" wrapText="1"/>
    </xf>
    <xf numFmtId="0" fontId="3" fillId="0" borderId="7" xfId="1" quotePrefix="1" applyFont="1" applyFill="1" applyBorder="1" applyAlignment="1">
      <alignment horizontal="center" wrapText="1"/>
    </xf>
    <xf numFmtId="0" fontId="3" fillId="0" borderId="7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left" wrapText="1"/>
    </xf>
    <xf numFmtId="0" fontId="2" fillId="0" borderId="4" xfId="1" applyFont="1" applyFill="1" applyBorder="1" applyAlignment="1">
      <alignment wrapText="1"/>
    </xf>
    <xf numFmtId="0" fontId="3" fillId="0" borderId="4" xfId="1" applyFont="1" applyFill="1" applyBorder="1" applyAlignment="1">
      <alignment horizontal="left" wrapText="1"/>
    </xf>
    <xf numFmtId="0" fontId="3" fillId="0" borderId="4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center" vertical="top" wrapText="1"/>
    </xf>
    <xf numFmtId="0" fontId="3" fillId="0" borderId="6" xfId="1" applyFont="1" applyFill="1" applyBorder="1" applyAlignment="1">
      <alignment horizontal="center" vertical="top" wrapText="1"/>
    </xf>
    <xf numFmtId="0" fontId="3" fillId="0" borderId="8" xfId="1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1" xfId="1" quotePrefix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3" fillId="0" borderId="0" xfId="1" quotePrefix="1" applyFont="1" applyFill="1" applyAlignment="1">
      <alignment horizontal="center" wrapText="1"/>
    </xf>
    <xf numFmtId="0" fontId="2" fillId="0" borderId="1" xfId="1" applyFont="1" applyFill="1" applyBorder="1" applyAlignment="1">
      <alignment horizontal="center" wrapText="1"/>
    </xf>
    <xf numFmtId="0" fontId="2" fillId="0" borderId="8" xfId="1" applyFont="1" applyFill="1" applyBorder="1" applyAlignment="1">
      <alignment horizontal="center" wrapText="1"/>
    </xf>
    <xf numFmtId="0" fontId="2" fillId="0" borderId="0" xfId="1" applyFont="1" applyFill="1" applyAlignment="1">
      <alignment horizontal="left" wrapText="1"/>
    </xf>
    <xf numFmtId="0" fontId="2" fillId="0" borderId="2" xfId="1" quotePrefix="1" applyFont="1" applyFill="1" applyBorder="1" applyAlignment="1">
      <alignment horizontal="left" wrapText="1"/>
    </xf>
    <xf numFmtId="0" fontId="2" fillId="0" borderId="2" xfId="1" applyFont="1" applyFill="1" applyBorder="1" applyAlignment="1">
      <alignment horizontal="left" wrapText="1"/>
    </xf>
    <xf numFmtId="0" fontId="2" fillId="0" borderId="1" xfId="1" applyFont="1" applyFill="1" applyBorder="1" applyAlignment="1">
      <alignment horizontal="left" wrapText="1"/>
    </xf>
    <xf numFmtId="0" fontId="2" fillId="0" borderId="2" xfId="1" applyFont="1" applyFill="1" applyBorder="1" applyAlignment="1">
      <alignment wrapText="1"/>
    </xf>
    <xf numFmtId="165" fontId="2" fillId="0" borderId="1" xfId="1" applyNumberFormat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left" wrapText="1"/>
    </xf>
    <xf numFmtId="0" fontId="2" fillId="0" borderId="0" xfId="1" applyFont="1" applyFill="1" applyBorder="1" applyAlignment="1">
      <alignment horizontal="left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quotePrefix="1" applyFont="1" applyFill="1" applyBorder="1" applyAlignment="1">
      <alignment horizontal="center" vertical="center" wrapText="1"/>
    </xf>
    <xf numFmtId="166" fontId="2" fillId="0" borderId="2" xfId="1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166" fontId="2" fillId="0" borderId="6" xfId="1" applyNumberFormat="1" applyFont="1" applyFill="1" applyBorder="1" applyAlignment="1">
      <alignment horizontal="center" vertical="center" wrapText="1"/>
    </xf>
    <xf numFmtId="166" fontId="2" fillId="0" borderId="1" xfId="1" applyNumberFormat="1" applyFont="1" applyFill="1" applyBorder="1" applyAlignment="1">
      <alignment horizontal="center" vertical="center" wrapText="1"/>
    </xf>
    <xf numFmtId="166" fontId="2" fillId="0" borderId="8" xfId="1" applyNumberFormat="1" applyFont="1" applyFill="1" applyBorder="1" applyAlignment="1">
      <alignment horizontal="center" vertical="center" wrapText="1"/>
    </xf>
    <xf numFmtId="166" fontId="2" fillId="0" borderId="9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166" fontId="2" fillId="0" borderId="11" xfId="1" applyNumberFormat="1" applyFont="1" applyFill="1" applyBorder="1" applyAlignment="1">
      <alignment horizontal="center" vertical="center" wrapText="1"/>
    </xf>
    <xf numFmtId="0" fontId="2" fillId="0" borderId="2" xfId="1" quotePrefix="1" applyFont="1" applyFill="1" applyBorder="1" applyAlignment="1">
      <alignment horizontal="left" vertical="center" wrapText="1"/>
    </xf>
    <xf numFmtId="166" fontId="2" fillId="0" borderId="10" xfId="1" applyNumberFormat="1" applyFont="1" applyFill="1" applyBorder="1" applyAlignment="1">
      <alignment horizontal="center" vertical="center" wrapText="1"/>
    </xf>
    <xf numFmtId="1" fontId="2" fillId="0" borderId="2" xfId="1" applyNumberFormat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wrapText="1"/>
    </xf>
    <xf numFmtId="3" fontId="2" fillId="0" borderId="2" xfId="1" applyNumberFormat="1" applyFont="1" applyFill="1" applyBorder="1" applyAlignment="1">
      <alignment horizontal="center" vertical="center" wrapText="1"/>
    </xf>
    <xf numFmtId="167" fontId="2" fillId="0" borderId="2" xfId="1" applyNumberFormat="1" applyFont="1" applyFill="1" applyBorder="1" applyAlignment="1">
      <alignment horizontal="center" vertical="center" wrapText="1"/>
    </xf>
    <xf numFmtId="0" fontId="6" fillId="0" borderId="0" xfId="1" quotePrefix="1" applyFont="1" applyFill="1" applyAlignment="1">
      <alignment horizontal="left" wrapText="1"/>
    </xf>
    <xf numFmtId="0" fontId="6" fillId="0" borderId="0" xfId="1" applyFont="1" applyFill="1" applyAlignment="1">
      <alignment horizontal="left" wrapText="1"/>
    </xf>
    <xf numFmtId="0" fontId="13" fillId="0" borderId="0" xfId="1" quotePrefix="1" applyFont="1" applyFill="1" applyAlignment="1">
      <alignment horizontal="left" vertical="center" wrapText="1"/>
    </xf>
    <xf numFmtId="0" fontId="13" fillId="0" borderId="0" xfId="1" applyFont="1" applyFill="1" applyAlignment="1">
      <alignment horizontal="left" vertical="center" wrapText="1"/>
    </xf>
    <xf numFmtId="166" fontId="3" fillId="0" borderId="2" xfId="1" applyNumberFormat="1" applyFont="1" applyFill="1" applyBorder="1" applyAlignment="1">
      <alignment horizontal="center" vertical="center" wrapText="1"/>
    </xf>
    <xf numFmtId="167" fontId="3" fillId="0" borderId="2" xfId="1" applyNumberFormat="1" applyFont="1" applyFill="1" applyBorder="1" applyAlignment="1">
      <alignment horizontal="center" vertical="center" wrapText="1"/>
    </xf>
    <xf numFmtId="0" fontId="3" fillId="0" borderId="1" xfId="1" quotePrefix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1" fontId="2" fillId="0" borderId="1" xfId="1" applyNumberFormat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top" wrapText="1"/>
    </xf>
    <xf numFmtId="0" fontId="1" fillId="0" borderId="5" xfId="1" quotePrefix="1" applyFont="1" applyFill="1" applyBorder="1" applyAlignment="1">
      <alignment horizontal="left" vertical="top" wrapText="1"/>
    </xf>
    <xf numFmtId="0" fontId="1" fillId="0" borderId="5" xfId="1" applyFont="1" applyFill="1" applyBorder="1" applyAlignment="1">
      <alignment horizontal="left" vertical="top" wrapText="1"/>
    </xf>
    <xf numFmtId="167" fontId="2" fillId="0" borderId="1" xfId="1" applyNumberFormat="1" applyFont="1" applyFill="1" applyBorder="1" applyAlignment="1">
      <alignment horizontal="center" vertical="center" wrapText="1"/>
    </xf>
    <xf numFmtId="167" fontId="2" fillId="0" borderId="6" xfId="1" applyNumberFormat="1" applyFont="1" applyFill="1" applyBorder="1" applyAlignment="1">
      <alignment horizontal="center" vertical="center" wrapText="1"/>
    </xf>
    <xf numFmtId="167" fontId="2" fillId="0" borderId="8" xfId="1" applyNumberFormat="1" applyFont="1" applyFill="1" applyBorder="1" applyAlignment="1">
      <alignment horizontal="center" vertical="center" wrapText="1"/>
    </xf>
    <xf numFmtId="168" fontId="2" fillId="0" borderId="2" xfId="1" applyNumberFormat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wrapText="1"/>
    </xf>
    <xf numFmtId="0" fontId="3" fillId="0" borderId="0" xfId="1" applyFont="1" applyFill="1" applyAlignment="1">
      <alignment horizontal="center" vertical="top" wrapText="1"/>
    </xf>
    <xf numFmtId="0" fontId="3" fillId="0" borderId="0" xfId="1" quotePrefix="1" applyFont="1" applyFill="1" applyBorder="1" applyAlignment="1">
      <alignment horizontal="center" wrapText="1"/>
    </xf>
    <xf numFmtId="3" fontId="1" fillId="0" borderId="1" xfId="1" applyNumberFormat="1" applyFill="1" applyBorder="1" applyAlignment="1">
      <alignment horizontal="center" wrapText="1"/>
    </xf>
    <xf numFmtId="0" fontId="1" fillId="0" borderId="8" xfId="1" applyFill="1" applyBorder="1" applyAlignment="1">
      <alignment horizontal="center" wrapText="1"/>
    </xf>
    <xf numFmtId="0" fontId="2" fillId="0" borderId="4" xfId="1" quotePrefix="1" applyFont="1" applyFill="1" applyBorder="1" applyAlignment="1">
      <alignment horizontal="center" vertical="center" wrapText="1"/>
    </xf>
    <xf numFmtId="1" fontId="2" fillId="0" borderId="4" xfId="1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1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169"/>
  <sheetViews>
    <sheetView tabSelected="1" workbookViewId="0">
      <selection activeCell="A3" sqref="A3:B3"/>
    </sheetView>
  </sheetViews>
  <sheetFormatPr defaultColWidth="8.7109375" defaultRowHeight="11.45" customHeight="1" x14ac:dyDescent="0.2"/>
  <cols>
    <col min="1" max="1" width="51" style="39" customWidth="1"/>
    <col min="2" max="2" width="10.85546875" style="39" customWidth="1"/>
    <col min="3" max="8" width="13.42578125" style="39" customWidth="1"/>
    <col min="9" max="16384" width="8.7109375" style="9"/>
  </cols>
  <sheetData>
    <row r="1" spans="1:8" s="39" customFormat="1" ht="12.95" customHeight="1" x14ac:dyDescent="0.2">
      <c r="E1" s="93" t="s">
        <v>0</v>
      </c>
      <c r="F1" s="93"/>
      <c r="G1" s="93"/>
      <c r="H1" s="93"/>
    </row>
    <row r="2" spans="1:8" s="39" customFormat="1" ht="12.95" customHeight="1" x14ac:dyDescent="0.2">
      <c r="E2" s="93" t="s">
        <v>1</v>
      </c>
      <c r="F2" s="93"/>
      <c r="G2" s="93"/>
      <c r="H2" s="93"/>
    </row>
    <row r="3" spans="1:8" s="39" customFormat="1" ht="12.95" customHeight="1" x14ac:dyDescent="0.2">
      <c r="A3" s="100"/>
      <c r="B3" s="100"/>
      <c r="E3" s="93" t="s">
        <v>2</v>
      </c>
      <c r="F3" s="93"/>
      <c r="G3" s="93"/>
      <c r="H3" s="93"/>
    </row>
    <row r="4" spans="1:8" s="39" customFormat="1" ht="12.75" customHeight="1" x14ac:dyDescent="0.2">
      <c r="E4" s="93" t="s">
        <v>3</v>
      </c>
      <c r="F4" s="93"/>
      <c r="G4" s="93"/>
      <c r="H4" s="93"/>
    </row>
    <row r="5" spans="1:8" s="39" customFormat="1" ht="12.95" customHeight="1" x14ac:dyDescent="0.2">
      <c r="E5" s="93" t="s">
        <v>4</v>
      </c>
      <c r="F5" s="93"/>
      <c r="G5" s="93"/>
      <c r="H5" s="93"/>
    </row>
    <row r="6" spans="1:8" s="39" customFormat="1" ht="12.95" customHeight="1" x14ac:dyDescent="0.2"/>
    <row r="7" spans="1:8" s="39" customFormat="1" ht="26.1" customHeight="1" x14ac:dyDescent="0.2">
      <c r="A7" s="96"/>
      <c r="B7" s="96"/>
      <c r="C7" s="96"/>
      <c r="D7" s="96"/>
      <c r="E7" s="96"/>
      <c r="F7" s="96"/>
      <c r="G7" s="42" t="s">
        <v>5</v>
      </c>
      <c r="H7" s="41" t="s">
        <v>6</v>
      </c>
    </row>
    <row r="8" spans="1:8" s="39" customFormat="1" ht="12.95" customHeight="1" x14ac:dyDescent="0.2">
      <c r="A8" s="41" t="s">
        <v>7</v>
      </c>
      <c r="B8" s="75" t="s">
        <v>8</v>
      </c>
      <c r="C8" s="75"/>
      <c r="D8" s="75"/>
      <c r="E8" s="75"/>
      <c r="F8" s="75"/>
      <c r="G8" s="37" t="s">
        <v>9</v>
      </c>
      <c r="H8" s="14">
        <v>1125821</v>
      </c>
    </row>
    <row r="9" spans="1:8" s="39" customFormat="1" ht="12.95" customHeight="1" x14ac:dyDescent="0.2">
      <c r="A9" s="41" t="s">
        <v>10</v>
      </c>
      <c r="B9" s="75" t="s">
        <v>11</v>
      </c>
      <c r="C9" s="75"/>
      <c r="D9" s="75"/>
      <c r="E9" s="75"/>
      <c r="F9" s="75"/>
      <c r="G9" s="37" t="s">
        <v>12</v>
      </c>
      <c r="H9" s="7" t="s">
        <v>13</v>
      </c>
    </row>
    <row r="10" spans="1:8" s="39" customFormat="1" ht="12.95" customHeight="1" x14ac:dyDescent="0.2">
      <c r="A10" s="41" t="s">
        <v>14</v>
      </c>
      <c r="B10" s="75" t="s">
        <v>15</v>
      </c>
      <c r="C10" s="75"/>
      <c r="D10" s="75"/>
      <c r="E10" s="75"/>
      <c r="F10" s="75"/>
      <c r="G10" s="37" t="s">
        <v>16</v>
      </c>
      <c r="H10" s="7" t="s">
        <v>17</v>
      </c>
    </row>
    <row r="11" spans="1:8" s="39" customFormat="1" ht="12.95" customHeight="1" x14ac:dyDescent="0.2">
      <c r="A11" s="41" t="s">
        <v>18</v>
      </c>
      <c r="B11" s="75" t="s">
        <v>19</v>
      </c>
      <c r="C11" s="75"/>
      <c r="D11" s="75"/>
      <c r="E11" s="75"/>
      <c r="F11" s="75"/>
      <c r="G11" s="37" t="s">
        <v>20</v>
      </c>
      <c r="H11" s="7" t="s">
        <v>21</v>
      </c>
    </row>
    <row r="12" spans="1:8" s="39" customFormat="1" ht="12.95" customHeight="1" x14ac:dyDescent="0.2">
      <c r="A12" s="41" t="s">
        <v>22</v>
      </c>
      <c r="B12" s="76" t="s">
        <v>23</v>
      </c>
      <c r="C12" s="76"/>
      <c r="D12" s="76"/>
      <c r="E12" s="76"/>
      <c r="F12" s="76"/>
      <c r="G12" s="37" t="s">
        <v>24</v>
      </c>
      <c r="H12" s="7" t="s">
        <v>25</v>
      </c>
    </row>
    <row r="13" spans="1:8" s="39" customFormat="1" ht="12.95" customHeight="1" x14ac:dyDescent="0.2">
      <c r="A13" s="41" t="s">
        <v>26</v>
      </c>
      <c r="B13" s="76" t="s">
        <v>27</v>
      </c>
      <c r="C13" s="76"/>
      <c r="D13" s="76"/>
      <c r="E13" s="76"/>
      <c r="F13" s="76"/>
      <c r="G13" s="37" t="s">
        <v>28</v>
      </c>
      <c r="H13" s="7" t="s">
        <v>29</v>
      </c>
    </row>
    <row r="14" spans="1:8" s="39" customFormat="1" ht="12.95" customHeight="1" x14ac:dyDescent="0.2">
      <c r="A14" s="75" t="s">
        <v>30</v>
      </c>
      <c r="B14" s="75"/>
      <c r="C14" s="75"/>
      <c r="D14" s="75"/>
      <c r="E14" s="75" t="s">
        <v>31</v>
      </c>
      <c r="F14" s="75"/>
      <c r="G14" s="91" t="s">
        <v>468</v>
      </c>
      <c r="H14" s="92"/>
    </row>
    <row r="15" spans="1:8" s="39" customFormat="1" ht="15.75" customHeight="1" x14ac:dyDescent="0.2">
      <c r="A15" s="41" t="s">
        <v>32</v>
      </c>
      <c r="B15" s="96" t="s">
        <v>33</v>
      </c>
      <c r="C15" s="96"/>
      <c r="D15" s="96"/>
      <c r="E15" s="96" t="s">
        <v>34</v>
      </c>
      <c r="F15" s="96"/>
      <c r="G15" s="97"/>
      <c r="H15" s="97"/>
    </row>
    <row r="16" spans="1:8" s="39" customFormat="1" ht="12.95" customHeight="1" x14ac:dyDescent="0.2">
      <c r="A16" s="41" t="s">
        <v>35</v>
      </c>
      <c r="B16" s="98">
        <v>1576</v>
      </c>
      <c r="C16" s="98"/>
      <c r="D16" s="99"/>
      <c r="E16" s="99"/>
      <c r="F16" s="99"/>
      <c r="G16" s="99"/>
      <c r="H16" s="99"/>
    </row>
    <row r="17" spans="1:8" s="39" customFormat="1" ht="12.95" customHeight="1" x14ac:dyDescent="0.2">
      <c r="A17" s="41" t="s">
        <v>36</v>
      </c>
      <c r="B17" s="94" t="s">
        <v>539</v>
      </c>
      <c r="C17" s="95"/>
      <c r="D17" s="95"/>
      <c r="E17" s="95"/>
      <c r="F17" s="95"/>
      <c r="G17" s="95"/>
      <c r="H17" s="95"/>
    </row>
    <row r="18" spans="1:8" s="39" customFormat="1" ht="12.95" customHeight="1" x14ac:dyDescent="0.2">
      <c r="A18" s="41" t="s">
        <v>37</v>
      </c>
      <c r="B18" s="95" t="s">
        <v>38</v>
      </c>
      <c r="C18" s="95"/>
      <c r="D18" s="95"/>
      <c r="E18" s="95"/>
      <c r="F18" s="95"/>
      <c r="G18" s="95"/>
      <c r="H18" s="95"/>
    </row>
    <row r="19" spans="1:8" s="39" customFormat="1" ht="12.95" customHeight="1" x14ac:dyDescent="0.2">
      <c r="A19" s="41" t="s">
        <v>39</v>
      </c>
      <c r="B19" s="95" t="s">
        <v>578</v>
      </c>
      <c r="C19" s="95"/>
      <c r="D19" s="95"/>
      <c r="E19" s="95"/>
      <c r="F19" s="95"/>
      <c r="G19" s="95"/>
      <c r="H19" s="95"/>
    </row>
    <row r="20" spans="1:8" s="39" customFormat="1" ht="12.95" customHeight="1" x14ac:dyDescent="0.2">
      <c r="A20" s="44"/>
      <c r="B20" s="44"/>
      <c r="C20" s="44"/>
      <c r="D20" s="44"/>
      <c r="E20" s="44"/>
      <c r="F20" s="44"/>
      <c r="G20" s="44"/>
      <c r="H20" s="44"/>
    </row>
    <row r="21" spans="1:8" s="39" customFormat="1" ht="12.95" customHeight="1" x14ac:dyDescent="0.2">
      <c r="A21" s="71" t="s">
        <v>40</v>
      </c>
      <c r="B21" s="71"/>
      <c r="C21" s="71"/>
      <c r="D21" s="71"/>
      <c r="E21" s="71"/>
      <c r="F21" s="71"/>
      <c r="G21" s="71"/>
      <c r="H21" s="71"/>
    </row>
    <row r="22" spans="1:8" s="39" customFormat="1" ht="12.95" customHeight="1" x14ac:dyDescent="0.2">
      <c r="A22" s="90" t="s">
        <v>543</v>
      </c>
      <c r="B22" s="71"/>
      <c r="C22" s="71"/>
      <c r="D22" s="71"/>
      <c r="E22" s="71"/>
      <c r="F22" s="71"/>
      <c r="G22" s="71"/>
      <c r="H22" s="71"/>
    </row>
    <row r="23" spans="1:8" s="39" customFormat="1" ht="12.95" customHeight="1" x14ac:dyDescent="0.2">
      <c r="A23" s="71" t="s">
        <v>540</v>
      </c>
      <c r="B23" s="71"/>
      <c r="C23" s="71"/>
      <c r="D23" s="71"/>
      <c r="E23" s="71"/>
      <c r="F23" s="71"/>
      <c r="G23" s="71"/>
      <c r="H23" s="71"/>
    </row>
    <row r="24" spans="1:8" s="39" customFormat="1" ht="12.95" customHeight="1" x14ac:dyDescent="0.2">
      <c r="A24" s="90" t="s">
        <v>582</v>
      </c>
      <c r="B24" s="71"/>
      <c r="C24" s="71"/>
      <c r="D24" s="71"/>
      <c r="E24" s="71"/>
      <c r="F24" s="71"/>
      <c r="G24" s="71"/>
      <c r="H24" s="71"/>
    </row>
    <row r="25" spans="1:8" s="39" customFormat="1" ht="21.75" customHeight="1" x14ac:dyDescent="0.2">
      <c r="A25" s="71" t="s">
        <v>41</v>
      </c>
      <c r="B25" s="71"/>
      <c r="C25" s="71"/>
      <c r="D25" s="71"/>
      <c r="E25" s="71"/>
      <c r="F25" s="71"/>
      <c r="G25" s="71"/>
      <c r="H25" s="71"/>
    </row>
    <row r="26" spans="1:8" s="39" customFormat="1" ht="12.95" customHeight="1" x14ac:dyDescent="0.2"/>
    <row r="27" spans="1:8" s="39" customFormat="1" ht="28.5" customHeight="1" x14ac:dyDescent="0.2">
      <c r="A27" s="84" t="s">
        <v>42</v>
      </c>
      <c r="B27" s="84" t="s">
        <v>43</v>
      </c>
      <c r="C27" s="86" t="s">
        <v>44</v>
      </c>
      <c r="D27" s="87"/>
      <c r="E27" s="88" t="s">
        <v>579</v>
      </c>
      <c r="F27" s="89"/>
      <c r="G27" s="89"/>
      <c r="H27" s="87"/>
    </row>
    <row r="28" spans="1:8" s="39" customFormat="1" ht="12.95" customHeight="1" x14ac:dyDescent="0.2">
      <c r="A28" s="85"/>
      <c r="B28" s="85"/>
      <c r="C28" s="46" t="s">
        <v>45</v>
      </c>
      <c r="D28" s="38" t="s">
        <v>46</v>
      </c>
      <c r="E28" s="46" t="s">
        <v>47</v>
      </c>
      <c r="F28" s="46" t="s">
        <v>48</v>
      </c>
      <c r="G28" s="46" t="s">
        <v>49</v>
      </c>
      <c r="H28" s="46" t="s">
        <v>50</v>
      </c>
    </row>
    <row r="29" spans="1:8" s="39" customFormat="1" ht="12.95" customHeight="1" x14ac:dyDescent="0.2">
      <c r="A29" s="50">
        <v>1</v>
      </c>
      <c r="B29" s="50">
        <v>2</v>
      </c>
      <c r="C29" s="50">
        <v>3</v>
      </c>
      <c r="D29" s="1">
        <v>4</v>
      </c>
      <c r="E29" s="50">
        <v>5</v>
      </c>
      <c r="F29" s="50">
        <v>6</v>
      </c>
      <c r="G29" s="50">
        <v>7</v>
      </c>
      <c r="H29" s="50">
        <v>8</v>
      </c>
    </row>
    <row r="30" spans="1:8" s="39" customFormat="1" ht="12.95" customHeight="1" x14ac:dyDescent="0.2">
      <c r="A30" s="79" t="s">
        <v>51</v>
      </c>
      <c r="B30" s="80"/>
      <c r="C30" s="80"/>
      <c r="D30" s="80"/>
      <c r="E30" s="80"/>
      <c r="F30" s="80"/>
      <c r="G30" s="80"/>
      <c r="H30" s="81"/>
    </row>
    <row r="31" spans="1:8" s="39" customFormat="1" ht="12.95" customHeight="1" x14ac:dyDescent="0.2">
      <c r="A31" s="2" t="s">
        <v>52</v>
      </c>
      <c r="B31" s="50">
        <v>1000</v>
      </c>
      <c r="C31" s="32">
        <f>'I. Формування фін. рез.'!C7</f>
        <v>642964</v>
      </c>
      <c r="D31" s="32">
        <f>'I. Формування фін. рез.'!D7</f>
        <v>781040</v>
      </c>
      <c r="E31" s="32">
        <f>'I. Формування фін. рез.'!E7</f>
        <v>676570</v>
      </c>
      <c r="F31" s="32">
        <f>'I. Формування фін. рез.'!F7</f>
        <v>781040</v>
      </c>
      <c r="G31" s="32">
        <f>F31-E31</f>
        <v>104470</v>
      </c>
      <c r="H31" s="32">
        <f>F31/E31*100</f>
        <v>115.44112213074776</v>
      </c>
    </row>
    <row r="32" spans="1:8" s="39" customFormat="1" ht="12.95" customHeight="1" x14ac:dyDescent="0.2">
      <c r="A32" s="2" t="s">
        <v>54</v>
      </c>
      <c r="B32" s="50">
        <v>1010</v>
      </c>
      <c r="C32" s="32">
        <f>'I. Формування фін. рез.'!C8</f>
        <v>-557660</v>
      </c>
      <c r="D32" s="32">
        <f>'I. Формування фін. рез.'!D8</f>
        <v>-745030</v>
      </c>
      <c r="E32" s="32">
        <f>'I. Формування фін. рез.'!E8</f>
        <v>-582350</v>
      </c>
      <c r="F32" s="32">
        <f>'I. Формування фін. рез.'!F8</f>
        <v>-745030</v>
      </c>
      <c r="G32" s="32">
        <f t="shared" ref="G32:G68" si="0">F32-E32</f>
        <v>-162680</v>
      </c>
      <c r="H32" s="32">
        <f>F32/E32*100</f>
        <v>127.93509058126556</v>
      </c>
    </row>
    <row r="33" spans="1:8" s="39" customFormat="1" ht="12.95" customHeight="1" x14ac:dyDescent="0.2">
      <c r="A33" s="3" t="s">
        <v>55</v>
      </c>
      <c r="B33" s="10">
        <v>1020</v>
      </c>
      <c r="C33" s="35">
        <f>SUM(C31:C32)</f>
        <v>85304</v>
      </c>
      <c r="D33" s="35">
        <f>SUM(D31:D32)</f>
        <v>36010</v>
      </c>
      <c r="E33" s="35">
        <f>SUM(E31:E32)</f>
        <v>94220</v>
      </c>
      <c r="F33" s="35">
        <f>SUM(F31:F32)</f>
        <v>36010</v>
      </c>
      <c r="G33" s="35">
        <f t="shared" si="0"/>
        <v>-58210</v>
      </c>
      <c r="H33" s="35">
        <f>F33/E33*100</f>
        <v>38.219061770324771</v>
      </c>
    </row>
    <row r="34" spans="1:8" s="39" customFormat="1" ht="12.95" customHeight="1" x14ac:dyDescent="0.2">
      <c r="A34" s="41" t="s">
        <v>56</v>
      </c>
      <c r="B34" s="50">
        <v>1030</v>
      </c>
      <c r="C34" s="32">
        <f>'I. Формування фін. рез.'!C21</f>
        <v>-64322</v>
      </c>
      <c r="D34" s="32">
        <f>'I. Формування фін. рез.'!D21</f>
        <v>-59693.000000000007</v>
      </c>
      <c r="E34" s="32">
        <f>'I. Формування фін. рез.'!E21</f>
        <v>-68405</v>
      </c>
      <c r="F34" s="32">
        <f>'I. Формування фін. рез.'!F21</f>
        <v>-59693.000000000007</v>
      </c>
      <c r="G34" s="32">
        <f t="shared" si="0"/>
        <v>8711.9999999999927</v>
      </c>
      <c r="H34" s="32">
        <f>F34/E34*100</f>
        <v>87.264088882391647</v>
      </c>
    </row>
    <row r="35" spans="1:8" s="39" customFormat="1" ht="27.75" customHeight="1" x14ac:dyDescent="0.2">
      <c r="A35" s="41" t="s">
        <v>57</v>
      </c>
      <c r="B35" s="50">
        <v>1031</v>
      </c>
      <c r="C35" s="32">
        <f>'I. Формування фін. рез.'!C22</f>
        <v>-1817.2</v>
      </c>
      <c r="D35" s="32">
        <f>'I. Формування фін. рез.'!D22</f>
        <v>-1480.6</v>
      </c>
      <c r="E35" s="32">
        <f>'I. Формування фін. рез.'!E22</f>
        <v>-1420</v>
      </c>
      <c r="F35" s="32">
        <f>'I. Формування фін. рез.'!F22</f>
        <v>-1480.6</v>
      </c>
      <c r="G35" s="32">
        <f t="shared" si="0"/>
        <v>-60.599999999999909</v>
      </c>
      <c r="H35" s="32">
        <f>F35/E35*100</f>
        <v>104.26760563380282</v>
      </c>
    </row>
    <row r="36" spans="1:8" s="39" customFormat="1" ht="12.95" customHeight="1" x14ac:dyDescent="0.2">
      <c r="A36" s="41" t="s">
        <v>58</v>
      </c>
      <c r="B36" s="50">
        <v>1032</v>
      </c>
      <c r="C36" s="32" t="str">
        <f>'I. Формування фін. рез.'!C23</f>
        <v>0,0</v>
      </c>
      <c r="D36" s="32" t="str">
        <f>'I. Формування фін. рез.'!D23</f>
        <v>0,0</v>
      </c>
      <c r="E36" s="32" t="str">
        <f>'I. Формування фін. рез.'!E23</f>
        <v>0,0</v>
      </c>
      <c r="F36" s="32" t="str">
        <f>'I. Формування фін. рез.'!F23</f>
        <v>0,0</v>
      </c>
      <c r="G36" s="32">
        <f t="shared" si="0"/>
        <v>0</v>
      </c>
      <c r="H36" s="32">
        <v>0</v>
      </c>
    </row>
    <row r="37" spans="1:8" s="39" customFormat="1" ht="12.95" customHeight="1" x14ac:dyDescent="0.2">
      <c r="A37" s="41" t="s">
        <v>59</v>
      </c>
      <c r="B37" s="50">
        <v>1033</v>
      </c>
      <c r="C37" s="32" t="str">
        <f>'I. Формування фін. рез.'!C24</f>
        <v>0,0</v>
      </c>
      <c r="D37" s="32" t="str">
        <f>'I. Формування фін. рез.'!D24</f>
        <v>0,0</v>
      </c>
      <c r="E37" s="32" t="str">
        <f>'I. Формування фін. рез.'!E24</f>
        <v>0,0</v>
      </c>
      <c r="F37" s="32" t="str">
        <f>'I. Формування фін. рез.'!F24</f>
        <v>0,0</v>
      </c>
      <c r="G37" s="32">
        <f t="shared" si="0"/>
        <v>0</v>
      </c>
      <c r="H37" s="32">
        <v>0</v>
      </c>
    </row>
    <row r="38" spans="1:8" s="39" customFormat="1" ht="12.95" customHeight="1" x14ac:dyDescent="0.2">
      <c r="A38" s="41" t="s">
        <v>60</v>
      </c>
      <c r="B38" s="50">
        <v>1034</v>
      </c>
      <c r="C38" s="32">
        <f>'I. Формування фін. рез.'!C25</f>
        <v>0</v>
      </c>
      <c r="D38" s="32" t="str">
        <f>'I. Формування фін. рез.'!D25</f>
        <v>0,0</v>
      </c>
      <c r="E38" s="32">
        <f>'I. Формування фін. рез.'!E25</f>
        <v>-20</v>
      </c>
      <c r="F38" s="32" t="str">
        <f>'I. Формування фін. рез.'!F25</f>
        <v>0,0</v>
      </c>
      <c r="G38" s="32">
        <f t="shared" si="0"/>
        <v>20</v>
      </c>
      <c r="H38" s="32">
        <f>F38/E38*100</f>
        <v>0</v>
      </c>
    </row>
    <row r="39" spans="1:8" s="39" customFormat="1" ht="12.95" customHeight="1" x14ac:dyDescent="0.2">
      <c r="A39" s="41" t="s">
        <v>61</v>
      </c>
      <c r="B39" s="50">
        <v>1035</v>
      </c>
      <c r="C39" s="32">
        <f>'I. Формування фін. рез.'!C26</f>
        <v>0</v>
      </c>
      <c r="D39" s="32">
        <f>'I. Формування фін. рез.'!D26</f>
        <v>-1656.3</v>
      </c>
      <c r="E39" s="32">
        <f>'I. Формування фін. рез.'!E26</f>
        <v>-350</v>
      </c>
      <c r="F39" s="32">
        <f>'I. Формування фін. рез.'!F26</f>
        <v>-1656.3</v>
      </c>
      <c r="G39" s="32">
        <f t="shared" si="0"/>
        <v>-1306.3</v>
      </c>
      <c r="H39" s="32" t="s">
        <v>457</v>
      </c>
    </row>
    <row r="40" spans="1:8" s="39" customFormat="1" ht="12.95" customHeight="1" x14ac:dyDescent="0.2">
      <c r="A40" s="2" t="s">
        <v>62</v>
      </c>
      <c r="B40" s="50">
        <v>1060</v>
      </c>
      <c r="C40" s="32">
        <f>'I. Формування фін. рез.'!C49</f>
        <v>-11726</v>
      </c>
      <c r="D40" s="32">
        <f>'I. Формування фін. рез.'!D49</f>
        <v>-10963.999999999998</v>
      </c>
      <c r="E40" s="32">
        <f>'I. Формування фін. рез.'!E49</f>
        <v>-8660</v>
      </c>
      <c r="F40" s="32">
        <f>'I. Формування фін. рез.'!F49</f>
        <v>-10963.999999999998</v>
      </c>
      <c r="G40" s="32">
        <f t="shared" si="0"/>
        <v>-2303.9999999999982</v>
      </c>
      <c r="H40" s="32">
        <f>F40/E40*100</f>
        <v>126.60508083140876</v>
      </c>
    </row>
    <row r="41" spans="1:8" s="39" customFormat="1" ht="12.95" customHeight="1" x14ac:dyDescent="0.2">
      <c r="A41" s="41" t="s">
        <v>63</v>
      </c>
      <c r="B41" s="50">
        <v>1070</v>
      </c>
      <c r="C41" s="32">
        <f>'I. Формування фін. рез.'!C58</f>
        <v>54910</v>
      </c>
      <c r="D41" s="32">
        <f>'I. Формування фін. рез.'!D58</f>
        <v>49382</v>
      </c>
      <c r="E41" s="32">
        <f>'I. Формування фін. рез.'!E58</f>
        <v>9515</v>
      </c>
      <c r="F41" s="32">
        <f>'I. Формування фін. рез.'!F58</f>
        <v>49382</v>
      </c>
      <c r="G41" s="32">
        <f t="shared" si="0"/>
        <v>39867</v>
      </c>
      <c r="H41" s="32">
        <f>F41/E41*100</f>
        <v>518.99106673673145</v>
      </c>
    </row>
    <row r="42" spans="1:8" s="39" customFormat="1" ht="12.95" customHeight="1" x14ac:dyDescent="0.2">
      <c r="A42" s="41" t="s">
        <v>64</v>
      </c>
      <c r="B42" s="50">
        <v>1071</v>
      </c>
      <c r="C42" s="32">
        <f>'I. Формування фін. рез.'!C59</f>
        <v>28085.8</v>
      </c>
      <c r="D42" s="32">
        <f>'I. Формування фін. рез.'!D59</f>
        <v>26981.599999999999</v>
      </c>
      <c r="E42" s="32" t="str">
        <f>'I. Формування фін. рез.'!E59</f>
        <v>0,0</v>
      </c>
      <c r="F42" s="32">
        <f>'I. Формування фін. рез.'!F59</f>
        <v>26981.599999999999</v>
      </c>
      <c r="G42" s="32">
        <f t="shared" si="0"/>
        <v>26981.599999999999</v>
      </c>
      <c r="H42" s="32">
        <v>0</v>
      </c>
    </row>
    <row r="43" spans="1:8" s="39" customFormat="1" ht="12.95" customHeight="1" x14ac:dyDescent="0.2">
      <c r="A43" s="41" t="s">
        <v>65</v>
      </c>
      <c r="B43" s="50">
        <v>1072</v>
      </c>
      <c r="C43" s="32" t="str">
        <f>'I. Формування фін. рез.'!C60</f>
        <v>0,0</v>
      </c>
      <c r="D43" s="32" t="str">
        <f>'I. Формування фін. рез.'!D60</f>
        <v>0,0</v>
      </c>
      <c r="E43" s="32" t="str">
        <f>'I. Формування фін. рез.'!E60</f>
        <v>0,0</v>
      </c>
      <c r="F43" s="32" t="str">
        <f>'I. Формування фін. рез.'!F60</f>
        <v>0,0</v>
      </c>
      <c r="G43" s="32">
        <f t="shared" si="0"/>
        <v>0</v>
      </c>
      <c r="H43" s="32">
        <v>0</v>
      </c>
    </row>
    <row r="44" spans="1:8" s="39" customFormat="1" ht="12.95" customHeight="1" x14ac:dyDescent="0.2">
      <c r="A44" s="41" t="s">
        <v>66</v>
      </c>
      <c r="B44" s="50">
        <v>1080</v>
      </c>
      <c r="C44" s="32">
        <f>'I. Формування фін. рез.'!C67</f>
        <v>-54795</v>
      </c>
      <c r="D44" s="32">
        <f>'I. Формування фін. рез.'!D67</f>
        <v>-46388</v>
      </c>
      <c r="E44" s="32">
        <f>'I. Формування фін. рез.'!E67</f>
        <v>-4470</v>
      </c>
      <c r="F44" s="32">
        <f>'I. Формування фін. рез.'!F67</f>
        <v>-46388</v>
      </c>
      <c r="G44" s="32">
        <f t="shared" si="0"/>
        <v>-41918</v>
      </c>
      <c r="H44" s="32">
        <f>F44/E44*100</f>
        <v>1037.7628635346757</v>
      </c>
    </row>
    <row r="45" spans="1:8" s="39" customFormat="1" ht="12.95" customHeight="1" x14ac:dyDescent="0.2">
      <c r="A45" s="41" t="s">
        <v>64</v>
      </c>
      <c r="B45" s="50">
        <v>1081</v>
      </c>
      <c r="C45" s="32">
        <f>'I. Формування фін. рез.'!C68</f>
        <v>-28956.5</v>
      </c>
      <c r="D45" s="32">
        <f>'I. Формування фін. рез.'!D68</f>
        <v>-28277</v>
      </c>
      <c r="E45" s="32" t="str">
        <f>'I. Формування фін. рез.'!E68</f>
        <v>0,0</v>
      </c>
      <c r="F45" s="32">
        <f>'I. Формування фін. рез.'!F68</f>
        <v>-28277</v>
      </c>
      <c r="G45" s="32">
        <f t="shared" si="0"/>
        <v>-28277</v>
      </c>
      <c r="H45" s="32">
        <v>0</v>
      </c>
    </row>
    <row r="46" spans="1:8" s="39" customFormat="1" ht="12.95" customHeight="1" x14ac:dyDescent="0.2">
      <c r="A46" s="41" t="s">
        <v>67</v>
      </c>
      <c r="B46" s="50">
        <v>1082</v>
      </c>
      <c r="C46" s="32" t="str">
        <f>'I. Формування фін. рез.'!C69</f>
        <v>0,0</v>
      </c>
      <c r="D46" s="32" t="str">
        <f>'I. Формування фін. рез.'!D69</f>
        <v>0,0</v>
      </c>
      <c r="E46" s="32" t="str">
        <f>'I. Формування фін. рез.'!E69</f>
        <v>0,0</v>
      </c>
      <c r="F46" s="32" t="str">
        <f>'I. Формування фін. рез.'!F69</f>
        <v>0,0</v>
      </c>
      <c r="G46" s="32">
        <f t="shared" si="0"/>
        <v>0</v>
      </c>
      <c r="H46" s="32">
        <v>0</v>
      </c>
    </row>
    <row r="47" spans="1:8" s="39" customFormat="1" ht="12.95" customHeight="1" x14ac:dyDescent="0.2">
      <c r="A47" s="3" t="s">
        <v>68</v>
      </c>
      <c r="B47" s="10">
        <v>1100</v>
      </c>
      <c r="C47" s="35">
        <f>C33+C34+C40+C41+C44</f>
        <v>9371</v>
      </c>
      <c r="D47" s="35">
        <f>D33+D34+D40+D41+D44</f>
        <v>-31653.000000000007</v>
      </c>
      <c r="E47" s="35">
        <f>E33+E34+E40+E41+E44</f>
        <v>22200</v>
      </c>
      <c r="F47" s="35">
        <f>F33+F34+F40+F41+F44</f>
        <v>-31653.000000000007</v>
      </c>
      <c r="G47" s="35">
        <f t="shared" si="0"/>
        <v>-53853.000000000007</v>
      </c>
      <c r="H47" s="35">
        <f>F47/E47*100</f>
        <v>-142.58108108108112</v>
      </c>
    </row>
    <row r="48" spans="1:8" s="39" customFormat="1" ht="12.95" customHeight="1" x14ac:dyDescent="0.2">
      <c r="A48" s="3" t="s">
        <v>69</v>
      </c>
      <c r="B48" s="10">
        <v>1310</v>
      </c>
      <c r="C48" s="35">
        <f>'I. Формування фін. рез.'!C114</f>
        <v>22981.7</v>
      </c>
      <c r="D48" s="35">
        <f>'I. Формування фін. рез.'!D114</f>
        <v>-15276.600000000006</v>
      </c>
      <c r="E48" s="35">
        <f>'I. Формування фін. рез.'!E114</f>
        <v>34695</v>
      </c>
      <c r="F48" s="35">
        <f>'I. Формування фін. рез.'!F114</f>
        <v>-15276.600000000006</v>
      </c>
      <c r="G48" s="35">
        <f t="shared" si="0"/>
        <v>-49971.600000000006</v>
      </c>
      <c r="H48" s="35">
        <f>F48/E48*100</f>
        <v>-44.031128404669282</v>
      </c>
    </row>
    <row r="49" spans="1:8" s="39" customFormat="1" ht="12.95" customHeight="1" x14ac:dyDescent="0.2">
      <c r="A49" s="3" t="s">
        <v>70</v>
      </c>
      <c r="B49" s="10">
        <v>5010</v>
      </c>
      <c r="C49" s="35">
        <f>C48/C31*100</f>
        <v>3.5743369768758435</v>
      </c>
      <c r="D49" s="35">
        <f>D48/D31*100</f>
        <v>-1.9559305541329519</v>
      </c>
      <c r="E49" s="35">
        <f>E48/E31*100</f>
        <v>5.1280724832611559</v>
      </c>
      <c r="F49" s="35">
        <f>F48/F31*100</f>
        <v>-1.9559305541329519</v>
      </c>
      <c r="G49" s="35">
        <f t="shared" si="0"/>
        <v>-7.0840030373941083</v>
      </c>
      <c r="H49" s="35">
        <f>F49/E49*100</f>
        <v>-38.141632368056818</v>
      </c>
    </row>
    <row r="50" spans="1:8" s="39" customFormat="1" ht="12.95" customHeight="1" x14ac:dyDescent="0.2">
      <c r="A50" s="41" t="s">
        <v>71</v>
      </c>
      <c r="B50" s="50">
        <v>1110</v>
      </c>
      <c r="C50" s="32" t="str">
        <f>'I. Формування фін. рез.'!C80</f>
        <v>0,0</v>
      </c>
      <c r="D50" s="32" t="str">
        <f>'I. Формування фін. рез.'!D80</f>
        <v>0,0</v>
      </c>
      <c r="E50" s="32" t="str">
        <f>'I. Формування фін. рез.'!E80</f>
        <v>0,0</v>
      </c>
      <c r="F50" s="32" t="str">
        <f>'I. Формування фін. рез.'!F80</f>
        <v>0,0</v>
      </c>
      <c r="G50" s="32">
        <f t="shared" si="0"/>
        <v>0</v>
      </c>
      <c r="H50" s="32">
        <v>0</v>
      </c>
    </row>
    <row r="51" spans="1:8" s="39" customFormat="1" ht="12.95" customHeight="1" x14ac:dyDescent="0.2">
      <c r="A51" s="41" t="s">
        <v>72</v>
      </c>
      <c r="B51" s="50">
        <v>1120</v>
      </c>
      <c r="C51" s="32" t="str">
        <f>'I. Формування фін. рез.'!C81</f>
        <v>0,0</v>
      </c>
      <c r="D51" s="32" t="str">
        <f>'I. Формування фін. рез.'!D81</f>
        <v>0,0</v>
      </c>
      <c r="E51" s="32" t="str">
        <f>'I. Формування фін. рез.'!E81</f>
        <v>0,0</v>
      </c>
      <c r="F51" s="32" t="str">
        <f>'I. Формування фін. рез.'!F81</f>
        <v>0,0</v>
      </c>
      <c r="G51" s="32">
        <f t="shared" si="0"/>
        <v>0</v>
      </c>
      <c r="H51" s="32">
        <v>0</v>
      </c>
    </row>
    <row r="52" spans="1:8" s="39" customFormat="1" ht="12.95" customHeight="1" x14ac:dyDescent="0.2">
      <c r="A52" s="41" t="s">
        <v>73</v>
      </c>
      <c r="B52" s="50">
        <v>1130</v>
      </c>
      <c r="C52" s="32">
        <f>'I. Формування фін. рез.'!C82</f>
        <v>7571</v>
      </c>
      <c r="D52" s="32">
        <f>'I. Формування фін. рез.'!D82</f>
        <v>13949</v>
      </c>
      <c r="E52" s="32">
        <f>'I. Формування фін. рез.'!E82</f>
        <v>9520</v>
      </c>
      <c r="F52" s="32">
        <f>'I. Формування фін. рез.'!F82</f>
        <v>13949</v>
      </c>
      <c r="G52" s="32">
        <f t="shared" si="0"/>
        <v>4429</v>
      </c>
      <c r="H52" s="32" t="s">
        <v>457</v>
      </c>
    </row>
    <row r="53" spans="1:8" s="39" customFormat="1" ht="12.95" customHeight="1" x14ac:dyDescent="0.2">
      <c r="A53" s="41" t="s">
        <v>74</v>
      </c>
      <c r="B53" s="50">
        <v>1140</v>
      </c>
      <c r="C53" s="32">
        <f>'I. Формування фін. рез.'!C85</f>
        <v>0</v>
      </c>
      <c r="D53" s="32">
        <f>'I. Формування фін. рез.'!D85</f>
        <v>-1286</v>
      </c>
      <c r="E53" s="32">
        <f>'I. Формування фін. рез.'!E85</f>
        <v>-2910</v>
      </c>
      <c r="F53" s="32">
        <f>'I. Формування фін. рез.'!F85</f>
        <v>-1286</v>
      </c>
      <c r="G53" s="32">
        <f t="shared" si="0"/>
        <v>1624</v>
      </c>
      <c r="H53" s="32">
        <v>0</v>
      </c>
    </row>
    <row r="54" spans="1:8" s="39" customFormat="1" ht="12.95" customHeight="1" x14ac:dyDescent="0.2">
      <c r="A54" s="41" t="s">
        <v>75</v>
      </c>
      <c r="B54" s="50">
        <v>1150</v>
      </c>
      <c r="C54" s="32">
        <f>'I. Формування фін. рез.'!C87</f>
        <v>11950</v>
      </c>
      <c r="D54" s="32">
        <f>'I. Формування фін. рез.'!D87</f>
        <v>28220</v>
      </c>
      <c r="E54" s="32">
        <f>'I. Формування фін. рез.'!E87</f>
        <v>120</v>
      </c>
      <c r="F54" s="32">
        <f>'I. Формування фін. рез.'!F87</f>
        <v>28220</v>
      </c>
      <c r="G54" s="32">
        <f t="shared" si="0"/>
        <v>28100</v>
      </c>
      <c r="H54" s="32">
        <f>F54/E54*100</f>
        <v>23516.666666666664</v>
      </c>
    </row>
    <row r="55" spans="1:8" s="39" customFormat="1" ht="12.95" customHeight="1" x14ac:dyDescent="0.2">
      <c r="A55" s="41" t="s">
        <v>64</v>
      </c>
      <c r="B55" s="50">
        <v>1151</v>
      </c>
      <c r="C55" s="32">
        <f>'I. Формування фін. рез.'!C88</f>
        <v>593.4</v>
      </c>
      <c r="D55" s="32">
        <f>'I. Формування фін. рез.'!D88</f>
        <v>11.4</v>
      </c>
      <c r="E55" s="32" t="str">
        <f>'I. Формування фін. рез.'!E88</f>
        <v>0,0</v>
      </c>
      <c r="F55" s="32">
        <f>'I. Формування фін. рез.'!F88</f>
        <v>11.4</v>
      </c>
      <c r="G55" s="32">
        <f t="shared" si="0"/>
        <v>11.4</v>
      </c>
      <c r="H55" s="32">
        <v>0</v>
      </c>
    </row>
    <row r="56" spans="1:8" s="39" customFormat="1" ht="12.95" customHeight="1" x14ac:dyDescent="0.2">
      <c r="A56" s="41" t="s">
        <v>76</v>
      </c>
      <c r="B56" s="50">
        <v>1160</v>
      </c>
      <c r="C56" s="32">
        <f>'I. Формування фін. рез.'!C91</f>
        <v>1173</v>
      </c>
      <c r="D56" s="32">
        <f>'I. Формування фін. рез.'!D91</f>
        <v>-5024.9999999999991</v>
      </c>
      <c r="E56" s="32">
        <f>'I. Формування фін. рез.'!E91</f>
        <v>-5240</v>
      </c>
      <c r="F56" s="32">
        <f>'I. Формування фін. рез.'!F91</f>
        <v>-5024.9999999999991</v>
      </c>
      <c r="G56" s="32">
        <f t="shared" si="0"/>
        <v>215.00000000000091</v>
      </c>
      <c r="H56" s="32">
        <f>F56/E56*100</f>
        <v>95.896946564885482</v>
      </c>
    </row>
    <row r="57" spans="1:8" s="39" customFormat="1" ht="12.95" customHeight="1" x14ac:dyDescent="0.2">
      <c r="A57" s="41" t="s">
        <v>64</v>
      </c>
      <c r="B57" s="50">
        <v>1161</v>
      </c>
      <c r="C57" s="32">
        <f>'I. Формування фін. рез.'!C92</f>
        <v>0</v>
      </c>
      <c r="D57" s="32">
        <f>'I. Формування фін. рез.'!D92</f>
        <v>-76.7</v>
      </c>
      <c r="E57" s="32" t="str">
        <f>'I. Формування фін. рез.'!E92</f>
        <v>0,0</v>
      </c>
      <c r="F57" s="32">
        <f>'I. Формування фін. рез.'!F92</f>
        <v>-76.7</v>
      </c>
      <c r="G57" s="32">
        <f t="shared" si="0"/>
        <v>-76.7</v>
      </c>
      <c r="H57" s="32">
        <v>0</v>
      </c>
    </row>
    <row r="58" spans="1:8" s="39" customFormat="1" ht="12.95" customHeight="1" x14ac:dyDescent="0.2">
      <c r="A58" s="45" t="s">
        <v>77</v>
      </c>
      <c r="B58" s="10">
        <v>1170</v>
      </c>
      <c r="C58" s="35">
        <f>SUM(C47,C50:C54,C56)</f>
        <v>30065</v>
      </c>
      <c r="D58" s="35">
        <f>SUM(D47,D50:D54,D56)</f>
        <v>4204.9999999999936</v>
      </c>
      <c r="E58" s="35">
        <f>SUM(E47,E50:E54,E56)</f>
        <v>23690</v>
      </c>
      <c r="F58" s="35">
        <f>SUM(F47,F50:F54,F56)</f>
        <v>4204.9999999999936</v>
      </c>
      <c r="G58" s="35">
        <f t="shared" si="0"/>
        <v>-19485.000000000007</v>
      </c>
      <c r="H58" s="35">
        <f>F58/E58*100</f>
        <v>17.750105529759367</v>
      </c>
    </row>
    <row r="59" spans="1:8" s="39" customFormat="1" ht="12.95" customHeight="1" x14ac:dyDescent="0.2">
      <c r="A59" s="41" t="s">
        <v>78</v>
      </c>
      <c r="B59" s="50">
        <v>1180</v>
      </c>
      <c r="C59" s="32">
        <f>'I. Формування фін. рез.'!C97</f>
        <v>0</v>
      </c>
      <c r="D59" s="32">
        <f>'I. Формування фін. рез.'!D97</f>
        <v>-2706</v>
      </c>
      <c r="E59" s="32">
        <f>'I. Формування фін. рез.'!E97</f>
        <v>0</v>
      </c>
      <c r="F59" s="32">
        <f>'I. Формування фін. рез.'!F97</f>
        <v>-2706</v>
      </c>
      <c r="G59" s="32">
        <f t="shared" si="0"/>
        <v>-2706</v>
      </c>
      <c r="H59" s="32">
        <v>0</v>
      </c>
    </row>
    <row r="60" spans="1:8" s="39" customFormat="1" ht="12.95" customHeight="1" x14ac:dyDescent="0.2">
      <c r="A60" s="41" t="s">
        <v>79</v>
      </c>
      <c r="B60" s="50">
        <v>1181</v>
      </c>
      <c r="C60" s="32">
        <f>'I. Формування фін. рез.'!C98</f>
        <v>0</v>
      </c>
      <c r="D60" s="32">
        <f>'I. Формування фін. рез.'!D98</f>
        <v>-2706</v>
      </c>
      <c r="E60" s="32">
        <f>'I. Формування фін. рез.'!E98</f>
        <v>0</v>
      </c>
      <c r="F60" s="32">
        <f>'I. Формування фін. рез.'!F98</f>
        <v>-2706</v>
      </c>
      <c r="G60" s="32">
        <f t="shared" si="0"/>
        <v>-2706</v>
      </c>
      <c r="H60" s="32">
        <v>0</v>
      </c>
    </row>
    <row r="61" spans="1:8" s="39" customFormat="1" ht="15" customHeight="1" x14ac:dyDescent="0.2">
      <c r="A61" s="41" t="s">
        <v>80</v>
      </c>
      <c r="B61" s="50">
        <v>1190</v>
      </c>
      <c r="C61" s="32">
        <f>'I. Формування фін. рез.'!C99</f>
        <v>0</v>
      </c>
      <c r="D61" s="32">
        <f>'I. Формування фін. рез.'!D99</f>
        <v>0</v>
      </c>
      <c r="E61" s="32">
        <f>'I. Формування фін. рез.'!E99</f>
        <v>0</v>
      </c>
      <c r="F61" s="32">
        <f>'I. Формування фін. рез.'!F99</f>
        <v>0</v>
      </c>
      <c r="G61" s="32">
        <f t="shared" si="0"/>
        <v>0</v>
      </c>
      <c r="H61" s="32">
        <v>0</v>
      </c>
    </row>
    <row r="62" spans="1:8" s="39" customFormat="1" ht="15.75" customHeight="1" x14ac:dyDescent="0.2">
      <c r="A62" s="41" t="s">
        <v>81</v>
      </c>
      <c r="B62" s="50">
        <v>1191</v>
      </c>
      <c r="C62" s="32">
        <f>'I. Формування фін. рез.'!C100</f>
        <v>0</v>
      </c>
      <c r="D62" s="32">
        <f>'I. Формування фін. рез.'!D100</f>
        <v>0</v>
      </c>
      <c r="E62" s="32">
        <f>'I. Формування фін. рез.'!E100</f>
        <v>0</v>
      </c>
      <c r="F62" s="32">
        <f>'I. Формування фін. рез.'!F100</f>
        <v>0</v>
      </c>
      <c r="G62" s="32">
        <f t="shared" si="0"/>
        <v>0</v>
      </c>
      <c r="H62" s="32">
        <v>0</v>
      </c>
    </row>
    <row r="63" spans="1:8" s="39" customFormat="1" ht="15" customHeight="1" x14ac:dyDescent="0.2">
      <c r="A63" s="45" t="s">
        <v>82</v>
      </c>
      <c r="B63" s="10">
        <v>1200</v>
      </c>
      <c r="C63" s="35">
        <f>SUM(C58:C62)</f>
        <v>30065</v>
      </c>
      <c r="D63" s="35">
        <f>SUM(D58:D59)</f>
        <v>1498.9999999999936</v>
      </c>
      <c r="E63" s="35">
        <f>SUM(E58:E62)</f>
        <v>23690</v>
      </c>
      <c r="F63" s="35">
        <f>SUM(F58:F59)</f>
        <v>1498.9999999999936</v>
      </c>
      <c r="G63" s="35">
        <f t="shared" si="0"/>
        <v>-22191.000000000007</v>
      </c>
      <c r="H63" s="35">
        <f>F63/E63*100</f>
        <v>6.3275643731532023</v>
      </c>
    </row>
    <row r="64" spans="1:8" s="39" customFormat="1" ht="15" customHeight="1" x14ac:dyDescent="0.2">
      <c r="A64" s="41" t="s">
        <v>83</v>
      </c>
      <c r="B64" s="50">
        <v>1201</v>
      </c>
      <c r="C64" s="32">
        <f>'I. Формування фін. рез.'!C102</f>
        <v>30065</v>
      </c>
      <c r="D64" s="32">
        <f>'I. Формування фін. рез.'!D102</f>
        <v>1498.9999999999936</v>
      </c>
      <c r="E64" s="32">
        <f>'I. Формування фін. рез.'!E102</f>
        <v>23690</v>
      </c>
      <c r="F64" s="32">
        <f>'I. Формування фін. рез.'!F102</f>
        <v>1498.9999999999936</v>
      </c>
      <c r="G64" s="32">
        <f t="shared" si="0"/>
        <v>-22191.000000000007</v>
      </c>
      <c r="H64" s="32" t="s">
        <v>457</v>
      </c>
    </row>
    <row r="65" spans="1:8" s="39" customFormat="1" ht="12.95" customHeight="1" x14ac:dyDescent="0.2">
      <c r="A65" s="41" t="s">
        <v>84</v>
      </c>
      <c r="B65" s="50">
        <v>1202</v>
      </c>
      <c r="C65" s="32">
        <f>'I. Формування фін. рез.'!C103</f>
        <v>0</v>
      </c>
      <c r="D65" s="32">
        <f>'I. Формування фін. рез.'!D103</f>
        <v>0</v>
      </c>
      <c r="E65" s="32">
        <f>'I. Формування фін. рез.'!E103</f>
        <v>0</v>
      </c>
      <c r="F65" s="32">
        <f>'I. Формування фін. рез.'!F103</f>
        <v>0</v>
      </c>
      <c r="G65" s="32">
        <f t="shared" si="0"/>
        <v>0</v>
      </c>
      <c r="H65" s="32">
        <v>0</v>
      </c>
    </row>
    <row r="66" spans="1:8" s="39" customFormat="1" ht="12.95" customHeight="1" x14ac:dyDescent="0.2">
      <c r="A66" s="45" t="s">
        <v>85</v>
      </c>
      <c r="B66" s="10">
        <v>1210</v>
      </c>
      <c r="C66" s="35">
        <f>'I. Формування фін. рез.'!C104</f>
        <v>717395</v>
      </c>
      <c r="D66" s="35">
        <f>'I. Формування фін. рез.'!D104</f>
        <v>872591</v>
      </c>
      <c r="E66" s="35">
        <f>'I. Формування фін. рез.'!E104</f>
        <v>695725</v>
      </c>
      <c r="F66" s="35">
        <f>'I. Формування фін. рез.'!F104</f>
        <v>872591</v>
      </c>
      <c r="G66" s="35">
        <f t="shared" si="0"/>
        <v>176866</v>
      </c>
      <c r="H66" s="35">
        <f>F66/E66*100</f>
        <v>125.42182615257464</v>
      </c>
    </row>
    <row r="67" spans="1:8" s="39" customFormat="1" ht="12.95" customHeight="1" x14ac:dyDescent="0.2">
      <c r="A67" s="45" t="s">
        <v>86</v>
      </c>
      <c r="B67" s="10">
        <v>1220</v>
      </c>
      <c r="C67" s="35">
        <f>'I. Формування фін. рез.'!C105</f>
        <v>-687330</v>
      </c>
      <c r="D67" s="35">
        <f>'I. Формування фін. рез.'!D105</f>
        <v>-871092</v>
      </c>
      <c r="E67" s="35">
        <f>'I. Формування фін. рез.'!E105</f>
        <v>-672035</v>
      </c>
      <c r="F67" s="35">
        <f>'I. Формування фін. рез.'!F105</f>
        <v>-871092</v>
      </c>
      <c r="G67" s="35">
        <f t="shared" si="0"/>
        <v>-199057</v>
      </c>
      <c r="H67" s="35">
        <f>F67/E67*100</f>
        <v>129.62003467081325</v>
      </c>
    </row>
    <row r="68" spans="1:8" s="39" customFormat="1" ht="12.95" customHeight="1" x14ac:dyDescent="0.2">
      <c r="A68" s="41" t="s">
        <v>87</v>
      </c>
      <c r="B68" s="50">
        <v>1230</v>
      </c>
      <c r="C68" s="32" t="str">
        <f>'I. Формування фін. рез.'!C106</f>
        <v>0,0</v>
      </c>
      <c r="D68" s="32" t="str">
        <f>'I. Формування фін. рез.'!D106</f>
        <v>0,0</v>
      </c>
      <c r="E68" s="32" t="str">
        <f>'I. Формування фін. рез.'!E106</f>
        <v>0,0</v>
      </c>
      <c r="F68" s="32" t="str">
        <f>'I. Формування фін. рез.'!F106</f>
        <v>0,0</v>
      </c>
      <c r="G68" s="32">
        <f t="shared" si="0"/>
        <v>0</v>
      </c>
      <c r="H68" s="32">
        <v>0</v>
      </c>
    </row>
    <row r="69" spans="1:8" s="39" customFormat="1" ht="12.95" customHeight="1" x14ac:dyDescent="0.2">
      <c r="A69" s="77" t="s">
        <v>88</v>
      </c>
      <c r="B69" s="77"/>
      <c r="C69" s="77"/>
      <c r="D69" s="77"/>
      <c r="E69" s="77"/>
      <c r="F69" s="77"/>
      <c r="G69" s="77"/>
      <c r="H69" s="77"/>
    </row>
    <row r="70" spans="1:8" s="39" customFormat="1" ht="12.95" customHeight="1" x14ac:dyDescent="0.2">
      <c r="A70" s="41" t="s">
        <v>89</v>
      </c>
      <c r="B70" s="50">
        <v>1400</v>
      </c>
      <c r="C70" s="32">
        <f>'I. Формування фін. рез.'!C116</f>
        <v>99982</v>
      </c>
      <c r="D70" s="32">
        <f>'I. Формування фін. рез.'!D116</f>
        <v>142858</v>
      </c>
      <c r="E70" s="32">
        <f>'I. Формування фін. рез.'!E116</f>
        <v>104685</v>
      </c>
      <c r="F70" s="32">
        <f>'I. Формування фін. рез.'!F116</f>
        <v>142858</v>
      </c>
      <c r="G70" s="32">
        <f>F70-E70</f>
        <v>38173</v>
      </c>
      <c r="H70" s="32">
        <f>F70/E70*100</f>
        <v>136.46463199121172</v>
      </c>
    </row>
    <row r="71" spans="1:8" s="39" customFormat="1" ht="16.5" customHeight="1" x14ac:dyDescent="0.2">
      <c r="A71" s="41" t="s">
        <v>90</v>
      </c>
      <c r="B71" s="50">
        <v>1401</v>
      </c>
      <c r="C71" s="32">
        <f>'I. Формування фін. рез.'!C117</f>
        <v>18548.599999999999</v>
      </c>
      <c r="D71" s="32">
        <f>'I. Формування фін. рез.'!D117</f>
        <v>24689.4</v>
      </c>
      <c r="E71" s="32">
        <f>'I. Формування фін. рез.'!E117</f>
        <v>19715</v>
      </c>
      <c r="F71" s="32">
        <f>'I. Формування фін. рез.'!F117</f>
        <v>24689.4</v>
      </c>
      <c r="G71" s="32">
        <f t="shared" ref="G71:G77" si="1">F71-E71</f>
        <v>4974.4000000000015</v>
      </c>
      <c r="H71" s="32">
        <f t="shared" ref="H71:H77" si="2">F71/E71*100</f>
        <v>125.23154958153691</v>
      </c>
    </row>
    <row r="72" spans="1:8" s="39" customFormat="1" ht="12.95" customHeight="1" x14ac:dyDescent="0.2">
      <c r="A72" s="41" t="s">
        <v>91</v>
      </c>
      <c r="B72" s="50">
        <v>1402</v>
      </c>
      <c r="C72" s="32">
        <f>'I. Формування фін. рез.'!C118</f>
        <v>33660.400000000001</v>
      </c>
      <c r="D72" s="32">
        <f>'I. Формування фін. рез.'!D118</f>
        <v>46762</v>
      </c>
      <c r="E72" s="32">
        <f>'I. Формування фін. рез.'!E118</f>
        <v>36935</v>
      </c>
      <c r="F72" s="32">
        <f>'I. Формування фін. рез.'!F118</f>
        <v>46762</v>
      </c>
      <c r="G72" s="32">
        <f t="shared" si="1"/>
        <v>9827</v>
      </c>
      <c r="H72" s="32">
        <f t="shared" si="2"/>
        <v>126.60620008122376</v>
      </c>
    </row>
    <row r="73" spans="1:8" s="39" customFormat="1" ht="12" customHeight="1" x14ac:dyDescent="0.2">
      <c r="A73" s="41" t="s">
        <v>92</v>
      </c>
      <c r="B73" s="50">
        <v>1410</v>
      </c>
      <c r="C73" s="32">
        <f>'I. Формування фін. рез.'!C119</f>
        <v>101106</v>
      </c>
      <c r="D73" s="32">
        <f>'I. Формування фін. рез.'!D119</f>
        <v>115120</v>
      </c>
      <c r="E73" s="32">
        <f>'I. Формування фін. рез.'!E119</f>
        <v>96085</v>
      </c>
      <c r="F73" s="32">
        <f>'I. Формування фін. рез.'!F119</f>
        <v>115120</v>
      </c>
      <c r="G73" s="32">
        <f t="shared" si="1"/>
        <v>19035</v>
      </c>
      <c r="H73" s="32">
        <f t="shared" si="2"/>
        <v>119.81058437841494</v>
      </c>
    </row>
    <row r="74" spans="1:8" s="39" customFormat="1" ht="12.95" customHeight="1" x14ac:dyDescent="0.2">
      <c r="A74" s="41" t="s">
        <v>93</v>
      </c>
      <c r="B74" s="50">
        <v>1420</v>
      </c>
      <c r="C74" s="32">
        <f>'I. Формування фін. рез.'!C120</f>
        <v>32702</v>
      </c>
      <c r="D74" s="32">
        <f>'I. Формування фін. рез.'!D120</f>
        <v>25719</v>
      </c>
      <c r="E74" s="32">
        <f>'I. Формування фін. рез.'!E120</f>
        <v>21140</v>
      </c>
      <c r="F74" s="32">
        <f>'I. Формування фін. рез.'!F120</f>
        <v>25719</v>
      </c>
      <c r="G74" s="32">
        <f t="shared" si="1"/>
        <v>4579</v>
      </c>
      <c r="H74" s="32">
        <f t="shared" si="2"/>
        <v>121.66035950804164</v>
      </c>
    </row>
    <row r="75" spans="1:8" s="39" customFormat="1" ht="13.5" customHeight="1" x14ac:dyDescent="0.2">
      <c r="A75" s="41" t="s">
        <v>94</v>
      </c>
      <c r="B75" s="50">
        <v>1430</v>
      </c>
      <c r="C75" s="32">
        <f>'I. Формування фін. рез.'!C121</f>
        <v>12740</v>
      </c>
      <c r="D75" s="32">
        <f>'I. Формування фін. рез.'!D121</f>
        <v>15081</v>
      </c>
      <c r="E75" s="32">
        <f>'I. Формування фін. рез.'!E121</f>
        <v>12495</v>
      </c>
      <c r="F75" s="32">
        <f>'I. Формування фін. рез.'!F121</f>
        <v>15081</v>
      </c>
      <c r="G75" s="32">
        <f t="shared" si="1"/>
        <v>2586</v>
      </c>
      <c r="H75" s="32">
        <f>F75/E75*100</f>
        <v>120.69627851140456</v>
      </c>
    </row>
    <row r="76" spans="1:8" s="39" customFormat="1" ht="12.75" customHeight="1" x14ac:dyDescent="0.2">
      <c r="A76" s="41" t="s">
        <v>95</v>
      </c>
      <c r="B76" s="50">
        <v>1440</v>
      </c>
      <c r="C76" s="32">
        <f>'I. Формування фін. рез.'!C122</f>
        <v>441973</v>
      </c>
      <c r="D76" s="32">
        <f>'I. Формування фін. рез.'!D122</f>
        <v>563297</v>
      </c>
      <c r="E76" s="32">
        <f>'I. Формування фін. рез.'!E122</f>
        <v>428105</v>
      </c>
      <c r="F76" s="32">
        <f>'I. Формування фін. рез.'!F122</f>
        <v>563297</v>
      </c>
      <c r="G76" s="32">
        <f t="shared" si="1"/>
        <v>135192</v>
      </c>
      <c r="H76" s="32">
        <f t="shared" si="2"/>
        <v>131.5791686618937</v>
      </c>
    </row>
    <row r="77" spans="1:8" s="39" customFormat="1" ht="12.95" customHeight="1" x14ac:dyDescent="0.2">
      <c r="A77" s="45" t="s">
        <v>96</v>
      </c>
      <c r="B77" s="10">
        <v>1450</v>
      </c>
      <c r="C77" s="35">
        <f>SUM(C70,C73:C76)</f>
        <v>688503</v>
      </c>
      <c r="D77" s="35">
        <f>SUM(D70,D73:D76)</f>
        <v>862075</v>
      </c>
      <c r="E77" s="35">
        <f>SUM(E70,E73:E76)</f>
        <v>662510</v>
      </c>
      <c r="F77" s="35">
        <f>SUM(F70,F73:F76)</f>
        <v>862075</v>
      </c>
      <c r="G77" s="35">
        <f t="shared" si="1"/>
        <v>199565</v>
      </c>
      <c r="H77" s="35">
        <f t="shared" si="2"/>
        <v>130.12256418771037</v>
      </c>
    </row>
    <row r="78" spans="1:8" s="39" customFormat="1" ht="26.1" customHeight="1" x14ac:dyDescent="0.2">
      <c r="A78" s="82" t="s">
        <v>97</v>
      </c>
      <c r="B78" s="83"/>
      <c r="C78" s="83"/>
      <c r="D78" s="83"/>
      <c r="E78" s="83"/>
      <c r="F78" s="83"/>
      <c r="G78" s="83"/>
      <c r="H78" s="83"/>
    </row>
    <row r="79" spans="1:8" s="39" customFormat="1" ht="12.95" customHeight="1" x14ac:dyDescent="0.2">
      <c r="A79" s="77" t="s">
        <v>98</v>
      </c>
      <c r="B79" s="77"/>
      <c r="C79" s="77"/>
      <c r="D79" s="77"/>
      <c r="E79" s="77"/>
      <c r="F79" s="77"/>
      <c r="G79" s="77"/>
      <c r="H79" s="77"/>
    </row>
    <row r="80" spans="1:8" s="39" customFormat="1" ht="27.75" customHeight="1" x14ac:dyDescent="0.2">
      <c r="A80" s="41" t="s">
        <v>99</v>
      </c>
      <c r="B80" s="50">
        <v>2000</v>
      </c>
      <c r="C80" s="32">
        <f>'ІІ. Розр. з бюджетом'!C7</f>
        <v>-746633</v>
      </c>
      <c r="D80" s="32">
        <f>'ІІ. Розр. з бюджетом'!D7</f>
        <v>-720534</v>
      </c>
      <c r="E80" s="32">
        <f>'ІІ. Розр. з бюджетом'!E7</f>
        <v>-741973</v>
      </c>
      <c r="F80" s="32">
        <f>'ІІ. Розр. з бюджетом'!F7</f>
        <v>-720534</v>
      </c>
      <c r="G80" s="32">
        <f>F80-E80</f>
        <v>21439</v>
      </c>
      <c r="H80" s="32">
        <f>F80/E80*100</f>
        <v>97.110541758258051</v>
      </c>
    </row>
    <row r="81" spans="1:8" s="39" customFormat="1" ht="26.1" customHeight="1" x14ac:dyDescent="0.2">
      <c r="A81" s="41" t="s">
        <v>100</v>
      </c>
      <c r="B81" s="50">
        <v>2010</v>
      </c>
      <c r="C81" s="32">
        <f>'ІІ. Розр. з бюджетом'!C8</f>
        <v>0</v>
      </c>
      <c r="D81" s="32">
        <f>'ІІ. Розр. з бюджетом'!D8</f>
        <v>-15032.5</v>
      </c>
      <c r="E81" s="32">
        <f>'ІІ. Розр. з бюджетом'!E8</f>
        <v>-22395</v>
      </c>
      <c r="F81" s="32">
        <f>'ІІ. Розр. з бюджетом'!F8</f>
        <v>-15032.5</v>
      </c>
      <c r="G81" s="32">
        <f t="shared" ref="G81:G90" si="3">F81-E81</f>
        <v>7362.5</v>
      </c>
      <c r="H81" s="32">
        <v>0</v>
      </c>
    </row>
    <row r="82" spans="1:8" s="39" customFormat="1" ht="26.1" customHeight="1" x14ac:dyDescent="0.2">
      <c r="A82" s="41" t="s">
        <v>101</v>
      </c>
      <c r="B82" s="50">
        <v>2011</v>
      </c>
      <c r="C82" s="32" t="str">
        <f>'ІІ. Розр. з бюджетом'!C9</f>
        <v>0,0</v>
      </c>
      <c r="D82" s="32" t="str">
        <f>'ІІ. Розр. з бюджетом'!D9</f>
        <v>0,0</v>
      </c>
      <c r="E82" s="32" t="str">
        <f>'ІІ. Розр. з бюджетом'!E9</f>
        <v>0,0</v>
      </c>
      <c r="F82" s="32" t="str">
        <f>'ІІ. Розр. з бюджетом'!F9</f>
        <v>0,0</v>
      </c>
      <c r="G82" s="32">
        <f t="shared" si="3"/>
        <v>0</v>
      </c>
      <c r="H82" s="32">
        <v>0</v>
      </c>
    </row>
    <row r="83" spans="1:8" s="39" customFormat="1" ht="38.25" customHeight="1" x14ac:dyDescent="0.2">
      <c r="A83" s="41" t="s">
        <v>102</v>
      </c>
      <c r="B83" s="50">
        <v>2012</v>
      </c>
      <c r="C83" s="32" t="str">
        <f>'ІІ. Розр. з бюджетом'!C10</f>
        <v>0,0</v>
      </c>
      <c r="D83" s="32">
        <f>'ІІ. Розр. з бюджетом'!D10</f>
        <v>-15032.5</v>
      </c>
      <c r="E83" s="32">
        <f>'ІІ. Розр. з бюджетом'!E10</f>
        <v>-22395</v>
      </c>
      <c r="F83" s="32">
        <f>'ІІ. Розр. з бюджетом'!F10</f>
        <v>-15032.5</v>
      </c>
      <c r="G83" s="32">
        <f t="shared" si="3"/>
        <v>7362.5</v>
      </c>
      <c r="H83" s="32">
        <v>0</v>
      </c>
    </row>
    <row r="84" spans="1:8" s="39" customFormat="1" ht="16.5" customHeight="1" x14ac:dyDescent="0.2">
      <c r="A84" s="41" t="s">
        <v>103</v>
      </c>
      <c r="B84" s="46" t="s">
        <v>104</v>
      </c>
      <c r="C84" s="32" t="str">
        <f>'ІІ. Розр. з бюджетом'!C11</f>
        <v>0,0</v>
      </c>
      <c r="D84" s="32" t="str">
        <f>'ІІ. Розр. з бюджетом'!D11</f>
        <v>0,0</v>
      </c>
      <c r="E84" s="32">
        <f>'ІІ. Розр. з бюджетом'!E11</f>
        <v>-22395</v>
      </c>
      <c r="F84" s="32" t="str">
        <f>'ІІ. Розр. з бюджетом'!F11</f>
        <v>0,0</v>
      </c>
      <c r="G84" s="32">
        <f t="shared" si="3"/>
        <v>22395</v>
      </c>
      <c r="H84" s="32">
        <v>0</v>
      </c>
    </row>
    <row r="85" spans="1:8" s="39" customFormat="1" ht="12.95" customHeight="1" x14ac:dyDescent="0.2">
      <c r="A85" s="41" t="s">
        <v>105</v>
      </c>
      <c r="B85" s="50">
        <v>2020</v>
      </c>
      <c r="C85" s="32" t="str">
        <f>'ІІ. Розр. з бюджетом'!C12</f>
        <v>0,0</v>
      </c>
      <c r="D85" s="32" t="str">
        <f>'ІІ. Розр. з бюджетом'!D12</f>
        <v>0,0</v>
      </c>
      <c r="E85" s="32" t="str">
        <f>'ІІ. Розр. з бюджетом'!E12</f>
        <v>0,0</v>
      </c>
      <c r="F85" s="32" t="str">
        <f>'ІІ. Розр. з бюджетом'!F12</f>
        <v>0,0</v>
      </c>
      <c r="G85" s="32">
        <f t="shared" si="3"/>
        <v>0</v>
      </c>
      <c r="H85" s="32">
        <v>0</v>
      </c>
    </row>
    <row r="86" spans="1:8" s="39" customFormat="1" ht="12.95" customHeight="1" x14ac:dyDescent="0.2">
      <c r="A86" s="41" t="s">
        <v>106</v>
      </c>
      <c r="B86" s="50">
        <v>2030</v>
      </c>
      <c r="C86" s="32" t="str">
        <f>'ІІ. Розр. з бюджетом'!C13</f>
        <v>0,0</v>
      </c>
      <c r="D86" s="32" t="str">
        <f>'ІІ. Розр. з бюджетом'!D13</f>
        <v>0,0</v>
      </c>
      <c r="E86" s="32">
        <f>'ІІ. Розр. з бюджетом'!E13</f>
        <v>-1000</v>
      </c>
      <c r="F86" s="32" t="str">
        <f>'ІІ. Розр. з бюджетом'!F13</f>
        <v>0,0</v>
      </c>
      <c r="G86" s="32">
        <f t="shared" si="3"/>
        <v>1000</v>
      </c>
      <c r="H86" s="32">
        <v>0</v>
      </c>
    </row>
    <row r="87" spans="1:8" s="39" customFormat="1" ht="12.95" customHeight="1" x14ac:dyDescent="0.2">
      <c r="A87" s="41" t="s">
        <v>107</v>
      </c>
      <c r="B87" s="50">
        <v>2040</v>
      </c>
      <c r="C87" s="32" t="str">
        <f>'ІІ. Розр. з бюджетом'!C15</f>
        <v>0,0</v>
      </c>
      <c r="D87" s="32" t="str">
        <f>'ІІ. Розр. з бюджетом'!D15</f>
        <v>0,0</v>
      </c>
      <c r="E87" s="32" t="str">
        <f>'ІІ. Розр. з бюджетом'!E15</f>
        <v>0,0</v>
      </c>
      <c r="F87" s="32" t="str">
        <f>'ІІ. Розр. з бюджетом'!F15</f>
        <v>0,0</v>
      </c>
      <c r="G87" s="32">
        <f t="shared" si="3"/>
        <v>0</v>
      </c>
      <c r="H87" s="32">
        <v>0</v>
      </c>
    </row>
    <row r="88" spans="1:8" s="39" customFormat="1" ht="12.95" customHeight="1" x14ac:dyDescent="0.2">
      <c r="A88" s="41" t="s">
        <v>108</v>
      </c>
      <c r="B88" s="50">
        <v>2050</v>
      </c>
      <c r="C88" s="32" t="str">
        <f>'ІІ. Розр. з бюджетом'!C16</f>
        <v>0,0</v>
      </c>
      <c r="D88" s="32" t="str">
        <f>'ІІ. Розр. з бюджетом'!D16</f>
        <v>0,0</v>
      </c>
      <c r="E88" s="32" t="str">
        <f>'ІІ. Розр. з бюджетом'!E16</f>
        <v>0,0</v>
      </c>
      <c r="F88" s="32" t="str">
        <f>'ІІ. Розр. з бюджетом'!F16</f>
        <v>0,0</v>
      </c>
      <c r="G88" s="32">
        <f t="shared" si="3"/>
        <v>0</v>
      </c>
      <c r="H88" s="32">
        <v>0</v>
      </c>
    </row>
    <row r="89" spans="1:8" s="39" customFormat="1" ht="12.95" customHeight="1" x14ac:dyDescent="0.2">
      <c r="A89" s="41" t="s">
        <v>109</v>
      </c>
      <c r="B89" s="50">
        <v>2060</v>
      </c>
      <c r="C89" s="32">
        <f>'ІІ. Розр. з бюджетом'!C17</f>
        <v>-3966</v>
      </c>
      <c r="D89" s="32">
        <f>'ІІ. Розр. з бюджетом'!D17</f>
        <v>-497.5</v>
      </c>
      <c r="E89" s="32">
        <f>'ІІ. Розр. з бюджетом'!E17</f>
        <v>0</v>
      </c>
      <c r="F89" s="32">
        <f>'ІІ. Розр. з бюджетом'!F17</f>
        <v>-497.5</v>
      </c>
      <c r="G89" s="32">
        <f t="shared" si="3"/>
        <v>-497.5</v>
      </c>
      <c r="H89" s="32">
        <v>0</v>
      </c>
    </row>
    <row r="90" spans="1:8" s="39" customFormat="1" ht="24" customHeight="1" x14ac:dyDescent="0.2">
      <c r="A90" s="41" t="s">
        <v>110</v>
      </c>
      <c r="B90" s="50">
        <v>2070</v>
      </c>
      <c r="C90" s="32">
        <f>'ІІ. Розр. з бюджетом'!C20</f>
        <v>-720534</v>
      </c>
      <c r="D90" s="32">
        <f>'ІІ. Розр. з бюджетом'!D20</f>
        <v>-734565</v>
      </c>
      <c r="E90" s="32">
        <f>'ІІ. Розр. з бюджетом'!E20</f>
        <v>-741678</v>
      </c>
      <c r="F90" s="32">
        <f>'ІІ. Розр. з бюджетом'!F20</f>
        <v>-734565</v>
      </c>
      <c r="G90" s="32">
        <f t="shared" si="3"/>
        <v>7113</v>
      </c>
      <c r="H90" s="32">
        <f>F90/E90*100</f>
        <v>99.040958475241283</v>
      </c>
    </row>
    <row r="91" spans="1:8" s="39" customFormat="1" ht="12.95" customHeight="1" x14ac:dyDescent="0.2">
      <c r="A91" s="78" t="s">
        <v>111</v>
      </c>
      <c r="B91" s="78"/>
      <c r="C91" s="78"/>
      <c r="D91" s="78"/>
      <c r="E91" s="78"/>
      <c r="F91" s="78"/>
      <c r="G91" s="78"/>
      <c r="H91" s="78"/>
    </row>
    <row r="92" spans="1:8" s="39" customFormat="1" ht="27.75" customHeight="1" x14ac:dyDescent="0.2">
      <c r="A92" s="3" t="s">
        <v>112</v>
      </c>
      <c r="B92" s="10">
        <v>2110</v>
      </c>
      <c r="C92" s="35">
        <f>'ІІ. Розр. з бюджетом'!C22</f>
        <v>5355.4</v>
      </c>
      <c r="D92" s="35">
        <f>'ІІ. Розр. з бюджетом'!D22</f>
        <v>1905.0999999999995</v>
      </c>
      <c r="E92" s="35">
        <f>'ІІ. Розр. з бюджетом'!E22</f>
        <v>2795</v>
      </c>
      <c r="F92" s="35">
        <f>'ІІ. Розр. з бюджетом'!F22</f>
        <v>1905.0999999999995</v>
      </c>
      <c r="G92" s="35">
        <f>F92-E92</f>
        <v>-889.90000000000055</v>
      </c>
      <c r="H92" s="35">
        <f>F92/E92*100</f>
        <v>68.161001788908749</v>
      </c>
    </row>
    <row r="93" spans="1:8" s="39" customFormat="1" ht="12.95" customHeight="1" x14ac:dyDescent="0.2">
      <c r="A93" s="2" t="s">
        <v>113</v>
      </c>
      <c r="B93" s="50">
        <v>2111</v>
      </c>
      <c r="C93" s="32">
        <f>'ІІ. Розр. з бюджетом'!C23</f>
        <v>3866.1</v>
      </c>
      <c r="D93" s="32">
        <f>'ІІ. Розр. з бюджетом'!D23</f>
        <v>2716.2</v>
      </c>
      <c r="E93" s="32">
        <f>'ІІ. Розр. з бюджетом'!E23</f>
        <v>4030</v>
      </c>
      <c r="F93" s="32">
        <f>'ІІ. Розр. з бюджетом'!F23</f>
        <v>2716.2</v>
      </c>
      <c r="G93" s="32">
        <f t="shared" ref="G93:G104" si="4">F93-E93</f>
        <v>-1313.8000000000002</v>
      </c>
      <c r="H93" s="32">
        <v>0</v>
      </c>
    </row>
    <row r="94" spans="1:8" s="39" customFormat="1" ht="28.5" customHeight="1" x14ac:dyDescent="0.2">
      <c r="A94" s="2" t="s">
        <v>114</v>
      </c>
      <c r="B94" s="50">
        <v>2112</v>
      </c>
      <c r="C94" s="32">
        <f>'ІІ. Розр. з бюджетом'!C24</f>
        <v>0</v>
      </c>
      <c r="D94" s="32">
        <f>'ІІ. Розр. з бюджетом'!D24</f>
        <v>0</v>
      </c>
      <c r="E94" s="32">
        <f>'ІІ. Розр. з бюджетом'!E24</f>
        <v>0</v>
      </c>
      <c r="F94" s="32">
        <f>'ІІ. Розр. з бюджетом'!F24</f>
        <v>0</v>
      </c>
      <c r="G94" s="32">
        <f t="shared" si="4"/>
        <v>0</v>
      </c>
      <c r="H94" s="32">
        <v>0</v>
      </c>
    </row>
    <row r="95" spans="1:8" s="39" customFormat="1" ht="27.75" customHeight="1" x14ac:dyDescent="0.2">
      <c r="A95" s="2" t="s">
        <v>115</v>
      </c>
      <c r="B95" s="50">
        <v>2113</v>
      </c>
      <c r="C95" s="32">
        <f>'ІІ. Розр. з бюджетом'!C25</f>
        <v>-5446.6</v>
      </c>
      <c r="D95" s="32">
        <f>'ІІ. Розр. з бюджетом'!D25</f>
        <v>-8383.2000000000007</v>
      </c>
      <c r="E95" s="32">
        <f>'ІІ. Розр. з бюджетом'!E25</f>
        <v>-7000</v>
      </c>
      <c r="F95" s="32">
        <f>'ІІ. Розр. з бюджетом'!F25</f>
        <v>-8383.2000000000007</v>
      </c>
      <c r="G95" s="32">
        <f t="shared" si="4"/>
        <v>-1383.2000000000007</v>
      </c>
      <c r="H95" s="32">
        <f t="shared" ref="H95:H104" si="5">F95/E95*100</f>
        <v>119.76</v>
      </c>
    </row>
    <row r="96" spans="1:8" s="39" customFormat="1" ht="12.95" customHeight="1" x14ac:dyDescent="0.2">
      <c r="A96" s="2" t="s">
        <v>116</v>
      </c>
      <c r="B96" s="50">
        <v>2114</v>
      </c>
      <c r="C96" s="32">
        <f>'ІІ. Розр. з бюджетом'!C26</f>
        <v>112.6</v>
      </c>
      <c r="D96" s="32">
        <f>'ІІ. Розр. з бюджетом'!D26</f>
        <v>203.7</v>
      </c>
      <c r="E96" s="32">
        <f>'ІІ. Розр. з бюджетом'!E26</f>
        <v>0</v>
      </c>
      <c r="F96" s="32">
        <f>'ІІ. Розр. з бюджетом'!F26</f>
        <v>203.7</v>
      </c>
      <c r="G96" s="32">
        <f t="shared" si="4"/>
        <v>203.7</v>
      </c>
      <c r="H96" s="32">
        <v>0</v>
      </c>
    </row>
    <row r="97" spans="1:8" s="39" customFormat="1" ht="27.75" customHeight="1" x14ac:dyDescent="0.2">
      <c r="A97" s="2" t="s">
        <v>117</v>
      </c>
      <c r="B97" s="50">
        <v>2115</v>
      </c>
      <c r="C97" s="32" t="str">
        <f>'ІІ. Розр. з бюджетом'!C27</f>
        <v>0,0</v>
      </c>
      <c r="D97" s="32" t="str">
        <f>'ІІ. Розр. з бюджетом'!D27</f>
        <v>0,0</v>
      </c>
      <c r="E97" s="32" t="str">
        <f>'ІІ. Розр. з бюджетом'!E27</f>
        <v>0,0</v>
      </c>
      <c r="F97" s="32" t="str">
        <f>'ІІ. Розр. з бюджетом'!F27</f>
        <v>0,0</v>
      </c>
      <c r="G97" s="32">
        <f t="shared" si="4"/>
        <v>0</v>
      </c>
      <c r="H97" s="32">
        <v>0</v>
      </c>
    </row>
    <row r="98" spans="1:8" s="39" customFormat="1" ht="18" customHeight="1" x14ac:dyDescent="0.2">
      <c r="A98" s="2" t="s">
        <v>118</v>
      </c>
      <c r="B98" s="50">
        <v>2116</v>
      </c>
      <c r="C98" s="32" t="str">
        <f>'ІІ. Розр. з бюджетом'!C28</f>
        <v>0,0</v>
      </c>
      <c r="D98" s="32" t="str">
        <f>'ІІ. Розр. з бюджетом'!D28</f>
        <v>0,0</v>
      </c>
      <c r="E98" s="32" t="str">
        <f>'ІІ. Розр. з бюджетом'!E28</f>
        <v>0,0</v>
      </c>
      <c r="F98" s="32" t="str">
        <f>'ІІ. Розр. з бюджетом'!F28</f>
        <v>0,0</v>
      </c>
      <c r="G98" s="32">
        <f t="shared" si="4"/>
        <v>0</v>
      </c>
      <c r="H98" s="32">
        <v>0</v>
      </c>
    </row>
    <row r="99" spans="1:8" s="39" customFormat="1" ht="12.95" customHeight="1" x14ac:dyDescent="0.2">
      <c r="A99" s="2" t="s">
        <v>119</v>
      </c>
      <c r="B99" s="50">
        <v>2117</v>
      </c>
      <c r="C99" s="32" t="str">
        <f>'ІІ. Розр. з бюджетом'!C29</f>
        <v>0,0</v>
      </c>
      <c r="D99" s="32" t="str">
        <f>'ІІ. Розр. з бюджетом'!D29</f>
        <v>0,0</v>
      </c>
      <c r="E99" s="32" t="str">
        <f>'ІІ. Розр. з бюджетом'!E29</f>
        <v>0,0</v>
      </c>
      <c r="F99" s="32" t="str">
        <f>'ІІ. Розр. з бюджетом'!F29</f>
        <v>0,0</v>
      </c>
      <c r="G99" s="32">
        <f t="shared" si="4"/>
        <v>0</v>
      </c>
      <c r="H99" s="32">
        <v>0</v>
      </c>
    </row>
    <row r="100" spans="1:8" s="39" customFormat="1" ht="27.75" customHeight="1" x14ac:dyDescent="0.2">
      <c r="A100" s="3" t="s">
        <v>120</v>
      </c>
      <c r="B100" s="10">
        <v>2120</v>
      </c>
      <c r="C100" s="35">
        <f>'ІІ. Розр. з бюджетом'!C33</f>
        <v>23898.1</v>
      </c>
      <c r="D100" s="35">
        <f>'ІІ. Розр. з бюджетом'!D33</f>
        <v>27192.799999999999</v>
      </c>
      <c r="E100" s="35">
        <f>'ІІ. Розр. з бюджетом'!E33</f>
        <v>21535</v>
      </c>
      <c r="F100" s="35">
        <f>'ІІ. Розр. з бюджетом'!F33</f>
        <v>27192.799999999999</v>
      </c>
      <c r="G100" s="35">
        <f t="shared" si="4"/>
        <v>5657.7999999999993</v>
      </c>
      <c r="H100" s="35">
        <f t="shared" si="5"/>
        <v>126.27257952170885</v>
      </c>
    </row>
    <row r="101" spans="1:8" s="39" customFormat="1" ht="28.5" customHeight="1" x14ac:dyDescent="0.2">
      <c r="A101" s="3" t="s">
        <v>121</v>
      </c>
      <c r="B101" s="10">
        <v>2130</v>
      </c>
      <c r="C101" s="35">
        <f>'ІІ. Розр. з бюджетом'!C40</f>
        <v>45894.8</v>
      </c>
      <c r="D101" s="35">
        <f>'ІІ. Розр. з бюджетом'!D40</f>
        <v>43640.3</v>
      </c>
      <c r="E101" s="35">
        <f>'ІІ. Розр. з бюджетом'!E40</f>
        <v>43535</v>
      </c>
      <c r="F101" s="35">
        <f>'ІІ. Розр. з бюджетом'!F40</f>
        <v>43640.3</v>
      </c>
      <c r="G101" s="35">
        <f t="shared" si="4"/>
        <v>105.30000000000291</v>
      </c>
      <c r="H101" s="35">
        <f t="shared" si="5"/>
        <v>100.24187435396807</v>
      </c>
    </row>
    <row r="102" spans="1:8" s="39" customFormat="1" ht="54" customHeight="1" x14ac:dyDescent="0.2">
      <c r="A102" s="2" t="s">
        <v>122</v>
      </c>
      <c r="B102" s="50">
        <v>2131</v>
      </c>
      <c r="C102" s="32">
        <f>'ІІ. Розр. з бюджетом'!C41</f>
        <v>17201.3</v>
      </c>
      <c r="D102" s="32">
        <f>'ІІ. Розр. з бюджетом'!D41</f>
        <v>15032.5</v>
      </c>
      <c r="E102" s="32">
        <f>'ІІ. Розр. з бюджетом'!E41</f>
        <v>22395</v>
      </c>
      <c r="F102" s="32">
        <f>'ІІ. Розр. з бюджетом'!F41</f>
        <v>15032.5</v>
      </c>
      <c r="G102" s="32">
        <f t="shared" si="4"/>
        <v>-7362.5</v>
      </c>
      <c r="H102" s="32">
        <v>0</v>
      </c>
    </row>
    <row r="103" spans="1:8" s="39" customFormat="1" ht="27.75" customHeight="1" x14ac:dyDescent="0.2">
      <c r="A103" s="2" t="s">
        <v>123</v>
      </c>
      <c r="B103" s="50">
        <v>2133</v>
      </c>
      <c r="C103" s="32">
        <f>'ІІ. Розр. з бюджетом'!C43</f>
        <v>28693.5</v>
      </c>
      <c r="D103" s="32">
        <f>'ІІ. Розр. з бюджетом'!D43</f>
        <v>28607.8</v>
      </c>
      <c r="E103" s="32">
        <f>'ІІ. Розр. з бюджетом'!E43</f>
        <v>21140</v>
      </c>
      <c r="F103" s="32">
        <f>'ІІ. Розр. з бюджетом'!F43</f>
        <v>28607.8</v>
      </c>
      <c r="G103" s="32">
        <f t="shared" si="4"/>
        <v>7467.7999999999993</v>
      </c>
      <c r="H103" s="32">
        <f t="shared" si="5"/>
        <v>135.32544938505202</v>
      </c>
    </row>
    <row r="104" spans="1:8" s="39" customFormat="1" ht="12.95" customHeight="1" x14ac:dyDescent="0.2">
      <c r="A104" s="3" t="s">
        <v>124</v>
      </c>
      <c r="B104" s="10">
        <v>2200</v>
      </c>
      <c r="C104" s="35">
        <f>'ІІ. Розр. з бюджетом'!C52</f>
        <v>75148.3</v>
      </c>
      <c r="D104" s="35">
        <f>'ІІ. Розр. з бюджетом'!D52</f>
        <v>72738.2</v>
      </c>
      <c r="E104" s="35">
        <f>'ІІ. Розр. з бюджетом'!E52</f>
        <v>67865</v>
      </c>
      <c r="F104" s="35">
        <f>'ІІ. Розр. з бюджетом'!F52</f>
        <v>72738.2</v>
      </c>
      <c r="G104" s="35">
        <f t="shared" si="4"/>
        <v>4873.1999999999971</v>
      </c>
      <c r="H104" s="35">
        <f t="shared" si="5"/>
        <v>107.18072644220142</v>
      </c>
    </row>
    <row r="105" spans="1:8" s="39" customFormat="1" ht="12.95" customHeight="1" x14ac:dyDescent="0.2">
      <c r="A105" s="70" t="s">
        <v>125</v>
      </c>
      <c r="B105" s="70"/>
      <c r="C105" s="70"/>
      <c r="D105" s="70"/>
      <c r="E105" s="70"/>
      <c r="F105" s="70"/>
      <c r="G105" s="70"/>
      <c r="H105" s="70"/>
    </row>
    <row r="106" spans="1:8" s="39" customFormat="1" ht="12.95" customHeight="1" x14ac:dyDescent="0.2">
      <c r="A106" s="3" t="s">
        <v>126</v>
      </c>
      <c r="B106" s="10">
        <v>3405</v>
      </c>
      <c r="C106" s="35">
        <f>'ІІІ. Рух грош. коштів'!C101</f>
        <v>11407</v>
      </c>
      <c r="D106" s="35">
        <f>'ІІІ. Рух грош. коштів'!D101</f>
        <v>12298</v>
      </c>
      <c r="E106" s="35">
        <f>'ІІІ. Рух грош. коштів'!E101</f>
        <v>20200</v>
      </c>
      <c r="F106" s="35">
        <f>'ІІІ. Рух грош. коштів'!F101</f>
        <v>12298</v>
      </c>
      <c r="G106" s="21">
        <f t="shared" ref="G106:G112" si="6">F106-E106</f>
        <v>-7902</v>
      </c>
      <c r="H106" s="35">
        <f>F106/E106*100</f>
        <v>60.881188118811878</v>
      </c>
    </row>
    <row r="107" spans="1:8" s="39" customFormat="1" ht="12.95" customHeight="1" x14ac:dyDescent="0.2">
      <c r="A107" s="2" t="s">
        <v>127</v>
      </c>
      <c r="B107" s="50">
        <v>3030</v>
      </c>
      <c r="C107" s="32" t="str">
        <f>'ІІІ. Рух грош. коштів'!C11</f>
        <v>0,0</v>
      </c>
      <c r="D107" s="32" t="str">
        <f>'ІІІ. Рух грош. коштів'!D11</f>
        <v>0,0</v>
      </c>
      <c r="E107" s="32" t="str">
        <f>'ІІІ. Рух грош. коштів'!E11</f>
        <v>0,0</v>
      </c>
      <c r="F107" s="32" t="str">
        <f>'ІІІ. Рух грош. коштів'!F11</f>
        <v>0,0</v>
      </c>
      <c r="G107" s="4">
        <f t="shared" si="6"/>
        <v>0</v>
      </c>
      <c r="H107" s="32">
        <v>0</v>
      </c>
    </row>
    <row r="108" spans="1:8" s="39" customFormat="1" ht="12.95" customHeight="1" x14ac:dyDescent="0.2">
      <c r="A108" s="2" t="s">
        <v>128</v>
      </c>
      <c r="B108" s="50">
        <v>3195</v>
      </c>
      <c r="C108" s="32">
        <f>'ІІІ. Рух грош. коштів'!C50</f>
        <v>-5884</v>
      </c>
      <c r="D108" s="32">
        <f>'ІІІ. Рух грош. коштів'!D50</f>
        <v>13743</v>
      </c>
      <c r="E108" s="32">
        <f>'ІІІ. Рух грош. коштів'!E50</f>
        <v>24695</v>
      </c>
      <c r="F108" s="32">
        <f>'ІІІ. Рух грош. коштів'!F50</f>
        <v>13743</v>
      </c>
      <c r="G108" s="4">
        <f t="shared" si="6"/>
        <v>-10952</v>
      </c>
      <c r="H108" s="32">
        <f t="shared" ref="H108:H114" si="7">F108/E108*100</f>
        <v>55.650941486130797</v>
      </c>
    </row>
    <row r="109" spans="1:8" s="39" customFormat="1" ht="12.95" customHeight="1" x14ac:dyDescent="0.2">
      <c r="A109" s="2" t="s">
        <v>129</v>
      </c>
      <c r="B109" s="50">
        <v>3295</v>
      </c>
      <c r="C109" s="32">
        <f>'ІІІ. Рух грош. коштів'!C78</f>
        <v>7454</v>
      </c>
      <c r="D109" s="32">
        <f>'ІІІ. Рух грош. коштів'!D78</f>
        <v>9871</v>
      </c>
      <c r="E109" s="32">
        <f>'ІІІ. Рух грош. коштів'!E78</f>
        <v>-24225</v>
      </c>
      <c r="F109" s="32">
        <f>'ІІІ. Рух грош. коштів'!F78</f>
        <v>9871</v>
      </c>
      <c r="G109" s="4">
        <f t="shared" si="6"/>
        <v>34096</v>
      </c>
      <c r="H109" s="32">
        <f t="shared" si="7"/>
        <v>-40.747162022703819</v>
      </c>
    </row>
    <row r="110" spans="1:8" s="39" customFormat="1" ht="12.95" customHeight="1" x14ac:dyDescent="0.2">
      <c r="A110" s="2" t="s">
        <v>130</v>
      </c>
      <c r="B110" s="50">
        <v>3395</v>
      </c>
      <c r="C110" s="32">
        <f>'ІІІ. Рух грош. коштів'!C99</f>
        <v>0</v>
      </c>
      <c r="D110" s="32">
        <f>'ІІІ. Рух грош. коштів'!D99</f>
        <v>-16318</v>
      </c>
      <c r="E110" s="32">
        <f>'ІІІ. Рух грош. коштів'!E99</f>
        <v>0</v>
      </c>
      <c r="F110" s="32">
        <f>'ІІІ. Рух грош. коштів'!F99</f>
        <v>-16318</v>
      </c>
      <c r="G110" s="4">
        <f t="shared" si="6"/>
        <v>-16318</v>
      </c>
      <c r="H110" s="32">
        <v>0</v>
      </c>
    </row>
    <row r="111" spans="1:8" s="39" customFormat="1" ht="12.95" customHeight="1" x14ac:dyDescent="0.2">
      <c r="A111" s="2" t="s">
        <v>131</v>
      </c>
      <c r="B111" s="50">
        <v>3410</v>
      </c>
      <c r="C111" s="32">
        <f>'ІІІ. Рух грош. коштів'!C102</f>
        <v>-679</v>
      </c>
      <c r="D111" s="32">
        <f>'ІІІ. Рух грош. коштів'!D102</f>
        <v>594</v>
      </c>
      <c r="E111" s="32" t="str">
        <f>'ІІІ. Рух грош. коштів'!E102</f>
        <v>0,0</v>
      </c>
      <c r="F111" s="32">
        <f>'ІІІ. Рух грош. коштів'!F102</f>
        <v>594</v>
      </c>
      <c r="G111" s="4">
        <f t="shared" si="6"/>
        <v>594</v>
      </c>
      <c r="H111" s="32">
        <v>0</v>
      </c>
    </row>
    <row r="112" spans="1:8" s="39" customFormat="1" ht="12.95" customHeight="1" x14ac:dyDescent="0.2">
      <c r="A112" s="3" t="s">
        <v>132</v>
      </c>
      <c r="B112" s="10">
        <v>3415</v>
      </c>
      <c r="C112" s="35">
        <f>'ІІІ. Рух грош. коштів'!C103</f>
        <v>12298</v>
      </c>
      <c r="D112" s="35">
        <f>'ІІІ. Рух грош. коштів'!D103</f>
        <v>20188</v>
      </c>
      <c r="E112" s="35">
        <f>'ІІІ. Рух грош. коштів'!E103</f>
        <v>20670</v>
      </c>
      <c r="F112" s="35">
        <f>'ІІІ. Рух грош. коштів'!F103</f>
        <v>20188</v>
      </c>
      <c r="G112" s="21">
        <f t="shared" si="6"/>
        <v>-482</v>
      </c>
      <c r="H112" s="35">
        <f t="shared" si="7"/>
        <v>97.668118045476533</v>
      </c>
    </row>
    <row r="113" spans="1:8" s="39" customFormat="1" ht="12.95" customHeight="1" x14ac:dyDescent="0.2">
      <c r="A113" s="70" t="s">
        <v>133</v>
      </c>
      <c r="B113" s="70"/>
      <c r="C113" s="70"/>
      <c r="D113" s="70"/>
      <c r="E113" s="70"/>
      <c r="F113" s="70"/>
      <c r="G113" s="70"/>
      <c r="H113" s="70"/>
    </row>
    <row r="114" spans="1:8" s="39" customFormat="1" ht="12.95" customHeight="1" x14ac:dyDescent="0.2">
      <c r="A114" s="3" t="s">
        <v>134</v>
      </c>
      <c r="B114" s="10">
        <v>4000</v>
      </c>
      <c r="C114" s="35">
        <f>'IV. Кап. інвестиції'!C6</f>
        <v>7423</v>
      </c>
      <c r="D114" s="35">
        <f>'IV. Кап. інвестиції'!D6</f>
        <v>24643</v>
      </c>
      <c r="E114" s="35">
        <f>'IV. Кап. інвестиції'!E6</f>
        <v>21020</v>
      </c>
      <c r="F114" s="35">
        <f>'IV. Кап. інвестиції'!F6</f>
        <v>24643</v>
      </c>
      <c r="G114" s="64">
        <f>F114-E114</f>
        <v>3623</v>
      </c>
      <c r="H114" s="35">
        <f t="shared" si="7"/>
        <v>117.23596574690771</v>
      </c>
    </row>
    <row r="115" spans="1:8" s="39" customFormat="1" ht="12.95" customHeight="1" x14ac:dyDescent="0.2">
      <c r="A115" s="2" t="s">
        <v>135</v>
      </c>
      <c r="B115" s="50">
        <v>4010</v>
      </c>
      <c r="C115" s="32" t="str">
        <f>'IV. Кап. інвестиції'!C7</f>
        <v>0,0</v>
      </c>
      <c r="D115" s="32">
        <f>'IV. Кап. інвестиції'!D7</f>
        <v>9433.1</v>
      </c>
      <c r="E115" s="32">
        <f>'IV. Кап. інвестиції'!E7</f>
        <v>5000</v>
      </c>
      <c r="F115" s="32">
        <f>'IV. Кап. інвестиції'!F7</f>
        <v>9433.1</v>
      </c>
      <c r="G115" s="51">
        <f t="shared" ref="G115:G125" si="8">F115-E115</f>
        <v>4433.1000000000004</v>
      </c>
      <c r="H115" s="32">
        <v>0</v>
      </c>
    </row>
    <row r="116" spans="1:8" s="39" customFormat="1" ht="12.95" customHeight="1" x14ac:dyDescent="0.2">
      <c r="A116" s="2" t="s">
        <v>136</v>
      </c>
      <c r="B116" s="50">
        <v>4020</v>
      </c>
      <c r="C116" s="32">
        <f>'IV. Кап. інвестиції'!C8</f>
        <v>6186</v>
      </c>
      <c r="D116" s="32">
        <f>'IV. Кап. інвестиції'!D8</f>
        <v>13538.9</v>
      </c>
      <c r="E116" s="32">
        <f>'IV. Кап. інвестиції'!E8</f>
        <v>6215</v>
      </c>
      <c r="F116" s="32">
        <f>'IV. Кап. інвестиції'!F8</f>
        <v>13538.9</v>
      </c>
      <c r="G116" s="51">
        <f t="shared" si="8"/>
        <v>7323.9</v>
      </c>
      <c r="H116" s="32">
        <f t="shared" ref="H116:H124" si="9">F116/E116*100</f>
        <v>217.84231697506033</v>
      </c>
    </row>
    <row r="117" spans="1:8" s="39" customFormat="1" ht="27" customHeight="1" x14ac:dyDescent="0.2">
      <c r="A117" s="2" t="s">
        <v>137</v>
      </c>
      <c r="B117" s="50">
        <v>4030</v>
      </c>
      <c r="C117" s="32" t="str">
        <f>'IV. Кап. інвестиції'!C9</f>
        <v>0,0</v>
      </c>
      <c r="D117" s="32" t="str">
        <f>'IV. Кап. інвестиції'!D9</f>
        <v>0,0</v>
      </c>
      <c r="E117" s="32" t="str">
        <f>'IV. Кап. інвестиції'!E9</f>
        <v>0,0</v>
      </c>
      <c r="F117" s="32" t="str">
        <f>'IV. Кап. інвестиції'!F9</f>
        <v>0,0</v>
      </c>
      <c r="G117" s="51">
        <f t="shared" si="8"/>
        <v>0</v>
      </c>
      <c r="H117" s="32">
        <v>0</v>
      </c>
    </row>
    <row r="118" spans="1:8" s="39" customFormat="1" ht="12.95" customHeight="1" x14ac:dyDescent="0.2">
      <c r="A118" s="2" t="s">
        <v>138</v>
      </c>
      <c r="B118" s="50">
        <v>4040</v>
      </c>
      <c r="C118" s="32">
        <f>'IV. Кап. інвестиції'!C10</f>
        <v>1237</v>
      </c>
      <c r="D118" s="32">
        <f>'IV. Кап. інвестиції'!D10</f>
        <v>176</v>
      </c>
      <c r="E118" s="32">
        <f>'IV. Кап. інвестиції'!E10</f>
        <v>3505</v>
      </c>
      <c r="F118" s="32">
        <f>'IV. Кап. інвестиції'!F10</f>
        <v>176</v>
      </c>
      <c r="G118" s="51">
        <f t="shared" si="8"/>
        <v>-3329</v>
      </c>
      <c r="H118" s="32">
        <f t="shared" si="9"/>
        <v>5.0213980028530667</v>
      </c>
    </row>
    <row r="119" spans="1:8" s="39" customFormat="1" ht="29.25" customHeight="1" x14ac:dyDescent="0.2">
      <c r="A119" s="2" t="s">
        <v>139</v>
      </c>
      <c r="B119" s="50">
        <v>4050</v>
      </c>
      <c r="C119" s="32" t="str">
        <f>'IV. Кап. інвестиції'!C11</f>
        <v>0,0</v>
      </c>
      <c r="D119" s="32" t="str">
        <f>'IV. Кап. інвестиції'!D11</f>
        <v>0,0</v>
      </c>
      <c r="E119" s="32">
        <f>'IV. Кап. інвестиції'!E11</f>
        <v>5900</v>
      </c>
      <c r="F119" s="32" t="str">
        <f>'IV. Кап. інвестиції'!F11</f>
        <v>0,0</v>
      </c>
      <c r="G119" s="51">
        <f t="shared" si="8"/>
        <v>-5900</v>
      </c>
      <c r="H119" s="32">
        <v>0</v>
      </c>
    </row>
    <row r="120" spans="1:8" s="39" customFormat="1" ht="12.95" customHeight="1" x14ac:dyDescent="0.2">
      <c r="A120" s="2" t="s">
        <v>140</v>
      </c>
      <c r="B120" s="50">
        <v>4060</v>
      </c>
      <c r="C120" s="32" t="str">
        <f>'IV. Кап. інвестиції'!C12</f>
        <v>0,0</v>
      </c>
      <c r="D120" s="32">
        <f>'IV. Кап. інвестиції'!D12</f>
        <v>1495</v>
      </c>
      <c r="E120" s="32">
        <f>'IV. Кап. інвестиції'!E12</f>
        <v>400</v>
      </c>
      <c r="F120" s="32">
        <f>'IV. Кап. інвестиції'!F12</f>
        <v>1495</v>
      </c>
      <c r="G120" s="51">
        <f t="shared" si="8"/>
        <v>1095</v>
      </c>
      <c r="H120" s="32" t="s">
        <v>457</v>
      </c>
    </row>
    <row r="121" spans="1:8" s="39" customFormat="1" ht="12.95" customHeight="1" x14ac:dyDescent="0.2">
      <c r="A121" s="3" t="s">
        <v>141</v>
      </c>
      <c r="B121" s="10">
        <v>4000</v>
      </c>
      <c r="C121" s="35">
        <f>C114</f>
        <v>7423</v>
      </c>
      <c r="D121" s="35">
        <f>SUM(D122:D125)</f>
        <v>24643</v>
      </c>
      <c r="E121" s="35">
        <f>SUM(E122:E125)</f>
        <v>21020</v>
      </c>
      <c r="F121" s="35">
        <f>SUM(F122:F125)</f>
        <v>24643</v>
      </c>
      <c r="G121" s="64">
        <f t="shared" si="8"/>
        <v>3623</v>
      </c>
      <c r="H121" s="35">
        <f t="shared" si="9"/>
        <v>117.23596574690771</v>
      </c>
    </row>
    <row r="122" spans="1:8" s="39" customFormat="1" ht="12.95" customHeight="1" x14ac:dyDescent="0.2">
      <c r="A122" s="2" t="s">
        <v>142</v>
      </c>
      <c r="B122" s="46" t="s">
        <v>143</v>
      </c>
      <c r="C122" s="32">
        <v>0</v>
      </c>
      <c r="D122" s="46">
        <v>0</v>
      </c>
      <c r="E122" s="46">
        <v>0</v>
      </c>
      <c r="F122" s="46">
        <v>0</v>
      </c>
      <c r="G122" s="51">
        <f t="shared" si="8"/>
        <v>0</v>
      </c>
      <c r="H122" s="32">
        <v>0</v>
      </c>
    </row>
    <row r="123" spans="1:8" s="39" customFormat="1" ht="12.95" customHeight="1" x14ac:dyDescent="0.2">
      <c r="A123" s="2" t="s">
        <v>144</v>
      </c>
      <c r="B123" s="46" t="s">
        <v>145</v>
      </c>
      <c r="C123" s="46" t="s">
        <v>53</v>
      </c>
      <c r="D123" s="46" t="s">
        <v>53</v>
      </c>
      <c r="E123" s="46" t="s">
        <v>53</v>
      </c>
      <c r="F123" s="46" t="s">
        <v>53</v>
      </c>
      <c r="G123" s="51">
        <f t="shared" si="8"/>
        <v>0</v>
      </c>
      <c r="H123" s="32">
        <v>0</v>
      </c>
    </row>
    <row r="124" spans="1:8" s="39" customFormat="1" ht="12.95" customHeight="1" x14ac:dyDescent="0.2">
      <c r="A124" s="2" t="s">
        <v>146</v>
      </c>
      <c r="B124" s="46" t="s">
        <v>147</v>
      </c>
      <c r="C124" s="32">
        <f>'IV. Кап. інвестиції'!C6</f>
        <v>7423</v>
      </c>
      <c r="D124" s="32">
        <f>'IV. Кап. інвестиції'!D6</f>
        <v>24643</v>
      </c>
      <c r="E124" s="32">
        <f>'IV. Кап. інвестиції'!E6</f>
        <v>21020</v>
      </c>
      <c r="F124" s="32">
        <f>'IV. Кап. інвестиції'!F6</f>
        <v>24643</v>
      </c>
      <c r="G124" s="51">
        <f t="shared" si="8"/>
        <v>3623</v>
      </c>
      <c r="H124" s="32">
        <f t="shared" si="9"/>
        <v>117.23596574690771</v>
      </c>
    </row>
    <row r="125" spans="1:8" s="39" customFormat="1" ht="12.95" customHeight="1" x14ac:dyDescent="0.2">
      <c r="A125" s="2" t="s">
        <v>148</v>
      </c>
      <c r="B125" s="46" t="s">
        <v>149</v>
      </c>
      <c r="C125" s="46" t="s">
        <v>53</v>
      </c>
      <c r="D125" s="46" t="s">
        <v>53</v>
      </c>
      <c r="E125" s="46" t="s">
        <v>53</v>
      </c>
      <c r="F125" s="46" t="s">
        <v>53</v>
      </c>
      <c r="G125" s="51">
        <f t="shared" si="8"/>
        <v>0</v>
      </c>
      <c r="H125" s="32">
        <v>0</v>
      </c>
    </row>
    <row r="126" spans="1:8" s="39" customFormat="1" ht="12.95" customHeight="1" x14ac:dyDescent="0.2">
      <c r="A126" s="70" t="s">
        <v>150</v>
      </c>
      <c r="B126" s="70"/>
      <c r="C126" s="70"/>
      <c r="D126" s="70"/>
      <c r="E126" s="70"/>
      <c r="F126" s="70"/>
      <c r="G126" s="70"/>
      <c r="H126" s="70"/>
    </row>
    <row r="127" spans="1:8" s="39" customFormat="1" ht="12.95" customHeight="1" x14ac:dyDescent="0.2">
      <c r="A127" s="2" t="s">
        <v>151</v>
      </c>
      <c r="B127" s="50">
        <v>5040</v>
      </c>
      <c r="C127" s="51">
        <f>C63/C31*100</f>
        <v>4.6760005225798018</v>
      </c>
      <c r="D127" s="51">
        <f>D63/D31*100</f>
        <v>0.19192358906073873</v>
      </c>
      <c r="E127" s="51">
        <f>E63/E31*100</f>
        <v>3.5014854338797168</v>
      </c>
      <c r="F127" s="51">
        <f>F63/F31*100</f>
        <v>0.19192358906073873</v>
      </c>
      <c r="G127" s="32">
        <f>F127-E127</f>
        <v>-3.3095618448189779</v>
      </c>
      <c r="H127" s="32">
        <f>F127/E127*100</f>
        <v>5.4812048396295481</v>
      </c>
    </row>
    <row r="128" spans="1:8" s="39" customFormat="1" ht="12.95" customHeight="1" x14ac:dyDescent="0.2">
      <c r="A128" s="2" t="s">
        <v>152</v>
      </c>
      <c r="B128" s="50">
        <v>5020</v>
      </c>
      <c r="C128" s="51">
        <f>C63/C139*100</f>
        <v>11.154395533047657</v>
      </c>
      <c r="D128" s="51">
        <f>D63/D139*100</f>
        <v>0.43397826924023214</v>
      </c>
      <c r="E128" s="46" t="s">
        <v>158</v>
      </c>
      <c r="F128" s="46" t="s">
        <v>158</v>
      </c>
      <c r="G128" s="46" t="s">
        <v>158</v>
      </c>
      <c r="H128" s="46" t="s">
        <v>158</v>
      </c>
    </row>
    <row r="129" spans="1:8" s="39" customFormat="1" ht="12.95" customHeight="1" x14ac:dyDescent="0.2">
      <c r="A129" s="2" t="s">
        <v>153</v>
      </c>
      <c r="B129" s="50">
        <v>5030</v>
      </c>
      <c r="C129" s="51">
        <f>C63/C145*100</f>
        <v>18.040479319304183</v>
      </c>
      <c r="D129" s="51">
        <f>D63/D145*100</f>
        <v>0.98216508760204535</v>
      </c>
      <c r="E129" s="46" t="s">
        <v>158</v>
      </c>
      <c r="F129" s="46" t="s">
        <v>158</v>
      </c>
      <c r="G129" s="46" t="s">
        <v>158</v>
      </c>
      <c r="H129" s="46" t="s">
        <v>158</v>
      </c>
    </row>
    <row r="130" spans="1:8" s="39" customFormat="1" ht="12.95" customHeight="1" x14ac:dyDescent="0.2">
      <c r="A130" s="2" t="s">
        <v>154</v>
      </c>
      <c r="B130" s="50">
        <v>5110</v>
      </c>
      <c r="C130" s="51">
        <f>C145/C142</f>
        <v>1.6198460372076748</v>
      </c>
      <c r="D130" s="51">
        <f>D145/D142</f>
        <v>0.79166126346693499</v>
      </c>
      <c r="E130" s="46" t="s">
        <v>158</v>
      </c>
      <c r="F130" s="46" t="s">
        <v>158</v>
      </c>
      <c r="G130" s="46" t="s">
        <v>158</v>
      </c>
      <c r="H130" s="46" t="s">
        <v>158</v>
      </c>
    </row>
    <row r="131" spans="1:8" s="39" customFormat="1" ht="12.95" customHeight="1" x14ac:dyDescent="0.2">
      <c r="A131" s="2" t="s">
        <v>155</v>
      </c>
      <c r="B131" s="50">
        <v>5220</v>
      </c>
      <c r="C131" s="51">
        <f>C136/C135</f>
        <v>0.91908157568606641</v>
      </c>
      <c r="D131" s="51">
        <f>D136/D135</f>
        <v>0.9096640362860936</v>
      </c>
      <c r="E131" s="46" t="s">
        <v>158</v>
      </c>
      <c r="F131" s="46" t="s">
        <v>158</v>
      </c>
      <c r="G131" s="46" t="s">
        <v>158</v>
      </c>
      <c r="H131" s="46" t="s">
        <v>158</v>
      </c>
    </row>
    <row r="132" spans="1:8" s="39" customFormat="1" ht="12.95" customHeight="1" x14ac:dyDescent="0.2">
      <c r="A132" s="70" t="s">
        <v>156</v>
      </c>
      <c r="B132" s="70"/>
      <c r="C132" s="70"/>
      <c r="D132" s="70"/>
      <c r="E132" s="70"/>
      <c r="F132" s="70"/>
      <c r="G132" s="70"/>
      <c r="H132" s="70"/>
    </row>
    <row r="133" spans="1:8" s="39" customFormat="1" ht="12.95" customHeight="1" x14ac:dyDescent="0.2">
      <c r="A133" s="2" t="s">
        <v>157</v>
      </c>
      <c r="B133" s="50">
        <v>6000</v>
      </c>
      <c r="C133" s="32">
        <v>107682</v>
      </c>
      <c r="D133" s="32">
        <v>118400</v>
      </c>
      <c r="E133" s="46" t="s">
        <v>158</v>
      </c>
      <c r="F133" s="46" t="s">
        <v>158</v>
      </c>
      <c r="G133" s="46" t="s">
        <v>158</v>
      </c>
      <c r="H133" s="46" t="s">
        <v>158</v>
      </c>
    </row>
    <row r="134" spans="1:8" s="39" customFormat="1" ht="12.95" customHeight="1" x14ac:dyDescent="0.2">
      <c r="A134" s="2" t="s">
        <v>159</v>
      </c>
      <c r="B134" s="50">
        <v>6001</v>
      </c>
      <c r="C134" s="32">
        <v>61311</v>
      </c>
      <c r="D134" s="32">
        <v>70026</v>
      </c>
      <c r="E134" s="46" t="s">
        <v>158</v>
      </c>
      <c r="F134" s="46" t="s">
        <v>158</v>
      </c>
      <c r="G134" s="46" t="s">
        <v>158</v>
      </c>
      <c r="H134" s="46" t="s">
        <v>158</v>
      </c>
    </row>
    <row r="135" spans="1:8" s="39" customFormat="1" ht="12.95" customHeight="1" x14ac:dyDescent="0.2">
      <c r="A135" s="2" t="s">
        <v>160</v>
      </c>
      <c r="B135" s="50">
        <v>6002</v>
      </c>
      <c r="C135" s="32">
        <v>757689</v>
      </c>
      <c r="D135" s="32">
        <v>775173</v>
      </c>
      <c r="E135" s="46" t="s">
        <v>158</v>
      </c>
      <c r="F135" s="46" t="s">
        <v>158</v>
      </c>
      <c r="G135" s="46" t="s">
        <v>158</v>
      </c>
      <c r="H135" s="46" t="s">
        <v>158</v>
      </c>
    </row>
    <row r="136" spans="1:8" s="39" customFormat="1" ht="12.95" customHeight="1" x14ac:dyDescent="0.2">
      <c r="A136" s="2" t="s">
        <v>161</v>
      </c>
      <c r="B136" s="50">
        <v>6003</v>
      </c>
      <c r="C136" s="32">
        <v>696378</v>
      </c>
      <c r="D136" s="32">
        <v>705147</v>
      </c>
      <c r="E136" s="46" t="s">
        <v>158</v>
      </c>
      <c r="F136" s="46" t="s">
        <v>158</v>
      </c>
      <c r="G136" s="46" t="s">
        <v>158</v>
      </c>
      <c r="H136" s="46" t="s">
        <v>158</v>
      </c>
    </row>
    <row r="137" spans="1:8" s="39" customFormat="1" ht="15" customHeight="1" x14ac:dyDescent="0.2">
      <c r="A137" s="48" t="s">
        <v>162</v>
      </c>
      <c r="B137" s="50">
        <v>6010</v>
      </c>
      <c r="C137" s="32">
        <v>157125</v>
      </c>
      <c r="D137" s="32">
        <v>225308</v>
      </c>
      <c r="E137" s="46" t="s">
        <v>158</v>
      </c>
      <c r="F137" s="46" t="s">
        <v>158</v>
      </c>
      <c r="G137" s="46" t="s">
        <v>158</v>
      </c>
      <c r="H137" s="46" t="s">
        <v>158</v>
      </c>
    </row>
    <row r="138" spans="1:8" s="39" customFormat="1" ht="12.95" customHeight="1" x14ac:dyDescent="0.2">
      <c r="A138" s="2" t="s">
        <v>163</v>
      </c>
      <c r="B138" s="50">
        <v>6011</v>
      </c>
      <c r="C138" s="32">
        <v>12298</v>
      </c>
      <c r="D138" s="32">
        <v>20188</v>
      </c>
      <c r="E138" s="46" t="s">
        <v>158</v>
      </c>
      <c r="F138" s="46" t="s">
        <v>158</v>
      </c>
      <c r="G138" s="46" t="s">
        <v>158</v>
      </c>
      <c r="H138" s="46" t="s">
        <v>158</v>
      </c>
    </row>
    <row r="139" spans="1:8" s="39" customFormat="1" ht="12.95" customHeight="1" x14ac:dyDescent="0.2">
      <c r="A139" s="3" t="s">
        <v>164</v>
      </c>
      <c r="B139" s="10">
        <v>6020</v>
      </c>
      <c r="C139" s="35">
        <v>269535</v>
      </c>
      <c r="D139" s="35">
        <v>345409</v>
      </c>
      <c r="E139" s="69" t="s">
        <v>158</v>
      </c>
      <c r="F139" s="69" t="s">
        <v>158</v>
      </c>
      <c r="G139" s="69" t="s">
        <v>158</v>
      </c>
      <c r="H139" s="69" t="s">
        <v>158</v>
      </c>
    </row>
    <row r="140" spans="1:8" s="39" customFormat="1" ht="12.95" customHeight="1" x14ac:dyDescent="0.2">
      <c r="A140" s="2" t="s">
        <v>165</v>
      </c>
      <c r="B140" s="50">
        <v>6030</v>
      </c>
      <c r="C140" s="32">
        <v>5200</v>
      </c>
      <c r="D140" s="32">
        <v>1950</v>
      </c>
      <c r="E140" s="46" t="s">
        <v>158</v>
      </c>
      <c r="F140" s="46" t="s">
        <v>158</v>
      </c>
      <c r="G140" s="46" t="s">
        <v>158</v>
      </c>
      <c r="H140" s="46" t="s">
        <v>158</v>
      </c>
    </row>
    <row r="141" spans="1:8" s="39" customFormat="1" ht="12.95" customHeight="1" x14ac:dyDescent="0.2">
      <c r="A141" s="2" t="s">
        <v>166</v>
      </c>
      <c r="B141" s="50">
        <v>6040</v>
      </c>
      <c r="C141" s="32">
        <v>97682</v>
      </c>
      <c r="D141" s="32">
        <v>190837</v>
      </c>
      <c r="E141" s="46" t="s">
        <v>158</v>
      </c>
      <c r="F141" s="46" t="s">
        <v>158</v>
      </c>
      <c r="G141" s="46" t="s">
        <v>158</v>
      </c>
      <c r="H141" s="46" t="s">
        <v>158</v>
      </c>
    </row>
    <row r="142" spans="1:8" s="39" customFormat="1" ht="16.5" customHeight="1" x14ac:dyDescent="0.2">
      <c r="A142" s="3" t="s">
        <v>167</v>
      </c>
      <c r="B142" s="10">
        <v>6050</v>
      </c>
      <c r="C142" s="35">
        <f>SUM(C140:C141)</f>
        <v>102882</v>
      </c>
      <c r="D142" s="35">
        <f>SUM(D140:D141)</f>
        <v>192787</v>
      </c>
      <c r="E142" s="69" t="s">
        <v>158</v>
      </c>
      <c r="F142" s="69" t="s">
        <v>158</v>
      </c>
      <c r="G142" s="69" t="s">
        <v>158</v>
      </c>
      <c r="H142" s="69" t="s">
        <v>158</v>
      </c>
    </row>
    <row r="143" spans="1:8" s="39" customFormat="1" ht="12.95" customHeight="1" x14ac:dyDescent="0.2">
      <c r="A143" s="2" t="s">
        <v>168</v>
      </c>
      <c r="B143" s="50">
        <v>6060</v>
      </c>
      <c r="C143" s="46" t="s">
        <v>53</v>
      </c>
      <c r="D143" s="46" t="s">
        <v>53</v>
      </c>
      <c r="E143" s="46" t="s">
        <v>158</v>
      </c>
      <c r="F143" s="46" t="s">
        <v>158</v>
      </c>
      <c r="G143" s="46" t="s">
        <v>158</v>
      </c>
      <c r="H143" s="46" t="s">
        <v>158</v>
      </c>
    </row>
    <row r="144" spans="1:8" s="39" customFormat="1" ht="12.95" customHeight="1" x14ac:dyDescent="0.2">
      <c r="A144" s="2" t="s">
        <v>169</v>
      </c>
      <c r="B144" s="50">
        <v>6070</v>
      </c>
      <c r="C144" s="32">
        <v>5200</v>
      </c>
      <c r="D144" s="32">
        <v>1950</v>
      </c>
      <c r="E144" s="46" t="s">
        <v>158</v>
      </c>
      <c r="F144" s="46" t="s">
        <v>158</v>
      </c>
      <c r="G144" s="46" t="s">
        <v>158</v>
      </c>
      <c r="H144" s="46" t="s">
        <v>158</v>
      </c>
    </row>
    <row r="145" spans="1:8" s="39" customFormat="1" ht="12.95" customHeight="1" x14ac:dyDescent="0.2">
      <c r="A145" s="3" t="s">
        <v>170</v>
      </c>
      <c r="B145" s="10">
        <v>6080</v>
      </c>
      <c r="C145" s="35">
        <v>166653</v>
      </c>
      <c r="D145" s="35">
        <v>152622</v>
      </c>
      <c r="E145" s="69" t="s">
        <v>158</v>
      </c>
      <c r="F145" s="69" t="s">
        <v>158</v>
      </c>
      <c r="G145" s="69" t="s">
        <v>158</v>
      </c>
      <c r="H145" s="69" t="s">
        <v>158</v>
      </c>
    </row>
    <row r="146" spans="1:8" s="39" customFormat="1" ht="12.95" customHeight="1" x14ac:dyDescent="0.2">
      <c r="A146" s="70" t="s">
        <v>171</v>
      </c>
      <c r="B146" s="70"/>
      <c r="C146" s="70"/>
      <c r="D146" s="70"/>
      <c r="E146" s="70"/>
      <c r="F146" s="70"/>
      <c r="G146" s="70"/>
      <c r="H146" s="70"/>
    </row>
    <row r="147" spans="1:8" s="39" customFormat="1" ht="12.95" customHeight="1" x14ac:dyDescent="0.2">
      <c r="A147" s="3" t="s">
        <v>172</v>
      </c>
      <c r="B147" s="10">
        <v>7000</v>
      </c>
      <c r="C147" s="35">
        <f>SUM(C148:C150)</f>
        <v>0</v>
      </c>
      <c r="D147" s="35">
        <f>SUM(D148:D150)</f>
        <v>25000</v>
      </c>
      <c r="E147" s="35">
        <f>SUM(E148:E150)</f>
        <v>30000</v>
      </c>
      <c r="F147" s="35">
        <f>D147</f>
        <v>25000</v>
      </c>
      <c r="G147" s="35">
        <f>F147-E147</f>
        <v>-5000</v>
      </c>
      <c r="H147" s="35">
        <v>0</v>
      </c>
    </row>
    <row r="148" spans="1:8" s="39" customFormat="1" ht="12.95" customHeight="1" x14ac:dyDescent="0.2">
      <c r="A148" s="2" t="s">
        <v>173</v>
      </c>
      <c r="B148" s="50">
        <v>7001</v>
      </c>
      <c r="C148" s="46" t="s">
        <v>53</v>
      </c>
      <c r="D148" s="32" t="s">
        <v>53</v>
      </c>
      <c r="E148" s="32">
        <v>0</v>
      </c>
      <c r="F148" s="32" t="str">
        <f t="shared" ref="F148:F154" si="10">D148</f>
        <v>0,0</v>
      </c>
      <c r="G148" s="32">
        <f t="shared" ref="G148:G154" si="11">F148-E148</f>
        <v>0</v>
      </c>
      <c r="H148" s="32">
        <v>0</v>
      </c>
    </row>
    <row r="149" spans="1:8" s="39" customFormat="1" ht="12.95" customHeight="1" x14ac:dyDescent="0.2">
      <c r="A149" s="2" t="s">
        <v>174</v>
      </c>
      <c r="B149" s="50">
        <v>7002</v>
      </c>
      <c r="C149" s="46" t="s">
        <v>53</v>
      </c>
      <c r="D149" s="32">
        <v>25000</v>
      </c>
      <c r="E149" s="32">
        <v>30000</v>
      </c>
      <c r="F149" s="32">
        <f t="shared" si="10"/>
        <v>25000</v>
      </c>
      <c r="G149" s="32">
        <f t="shared" si="11"/>
        <v>-5000</v>
      </c>
      <c r="H149" s="32">
        <v>0</v>
      </c>
    </row>
    <row r="150" spans="1:8" ht="11.45" customHeight="1" x14ac:dyDescent="0.2">
      <c r="A150" s="2" t="s">
        <v>175</v>
      </c>
      <c r="B150" s="50">
        <v>7003</v>
      </c>
      <c r="C150" s="46" t="s">
        <v>53</v>
      </c>
      <c r="D150" s="32" t="s">
        <v>53</v>
      </c>
      <c r="E150" s="32">
        <v>0</v>
      </c>
      <c r="F150" s="32" t="str">
        <f t="shared" si="10"/>
        <v>0,0</v>
      </c>
      <c r="G150" s="32">
        <f t="shared" si="11"/>
        <v>0</v>
      </c>
      <c r="H150" s="32">
        <v>0</v>
      </c>
    </row>
    <row r="151" spans="1:8" ht="11.45" customHeight="1" x14ac:dyDescent="0.2">
      <c r="A151" s="3" t="s">
        <v>176</v>
      </c>
      <c r="B151" s="10">
        <v>7010</v>
      </c>
      <c r="C151" s="35">
        <f>SUM(C152:C154)</f>
        <v>1300</v>
      </c>
      <c r="D151" s="35">
        <f>SUM(D152:D154)</f>
        <v>28250</v>
      </c>
      <c r="E151" s="35">
        <f>SUM(E152:E154)</f>
        <v>34200</v>
      </c>
      <c r="F151" s="35">
        <f t="shared" si="10"/>
        <v>28250</v>
      </c>
      <c r="G151" s="35">
        <f t="shared" si="11"/>
        <v>-5950</v>
      </c>
      <c r="H151" s="35">
        <f>F151/E151*100</f>
        <v>82.602339181286553</v>
      </c>
    </row>
    <row r="152" spans="1:8" ht="11.45" customHeight="1" x14ac:dyDescent="0.2">
      <c r="A152" s="2" t="s">
        <v>173</v>
      </c>
      <c r="B152" s="50">
        <v>7011</v>
      </c>
      <c r="C152" s="46" t="s">
        <v>53</v>
      </c>
      <c r="D152" s="32" t="s">
        <v>53</v>
      </c>
      <c r="E152" s="32" t="s">
        <v>53</v>
      </c>
      <c r="F152" s="32" t="str">
        <f t="shared" si="10"/>
        <v>0,0</v>
      </c>
      <c r="G152" s="32">
        <f t="shared" si="11"/>
        <v>0</v>
      </c>
      <c r="H152" s="32">
        <v>0</v>
      </c>
    </row>
    <row r="153" spans="1:8" ht="11.45" customHeight="1" x14ac:dyDescent="0.2">
      <c r="A153" s="2" t="s">
        <v>174</v>
      </c>
      <c r="B153" s="50">
        <v>7012</v>
      </c>
      <c r="C153" s="46" t="s">
        <v>53</v>
      </c>
      <c r="D153" s="32">
        <v>25000</v>
      </c>
      <c r="E153" s="32">
        <v>30000</v>
      </c>
      <c r="F153" s="32">
        <f t="shared" si="10"/>
        <v>25000</v>
      </c>
      <c r="G153" s="32">
        <f t="shared" si="11"/>
        <v>-5000</v>
      </c>
      <c r="H153" s="32">
        <v>0</v>
      </c>
    </row>
    <row r="154" spans="1:8" ht="11.45" customHeight="1" x14ac:dyDescent="0.2">
      <c r="A154" s="2" t="s">
        <v>175</v>
      </c>
      <c r="B154" s="50">
        <v>7013</v>
      </c>
      <c r="C154" s="32">
        <v>1300</v>
      </c>
      <c r="D154" s="32">
        <v>3250</v>
      </c>
      <c r="E154" s="32">
        <v>4200</v>
      </c>
      <c r="F154" s="32">
        <f t="shared" si="10"/>
        <v>3250</v>
      </c>
      <c r="G154" s="32">
        <f t="shared" si="11"/>
        <v>-950</v>
      </c>
      <c r="H154" s="32">
        <f>F154/E154*100</f>
        <v>77.38095238095238</v>
      </c>
    </row>
    <row r="155" spans="1:8" ht="11.45" customHeight="1" x14ac:dyDescent="0.2">
      <c r="A155" s="70" t="s">
        <v>177</v>
      </c>
      <c r="B155" s="70"/>
      <c r="C155" s="70"/>
      <c r="D155" s="70"/>
      <c r="E155" s="70"/>
      <c r="F155" s="70"/>
      <c r="G155" s="70"/>
      <c r="H155" s="70"/>
    </row>
    <row r="156" spans="1:8" ht="45" customHeight="1" x14ac:dyDescent="0.2">
      <c r="A156" s="3" t="s">
        <v>178</v>
      </c>
      <c r="B156" s="10">
        <v>8000</v>
      </c>
      <c r="C156" s="35">
        <f>SUM(C157:C159)</f>
        <v>1891</v>
      </c>
      <c r="D156" s="35" t="s">
        <v>158</v>
      </c>
      <c r="E156" s="35">
        <f>'Iнформація до ФП'!H12</f>
        <v>1571</v>
      </c>
      <c r="F156" s="35">
        <f>'Iнформація до ФП'!J12</f>
        <v>1677</v>
      </c>
      <c r="G156" s="35">
        <f>F156-E156</f>
        <v>106</v>
      </c>
      <c r="H156" s="35">
        <f>F156/E156*100</f>
        <v>106.74729471674094</v>
      </c>
    </row>
    <row r="157" spans="1:8" ht="11.45" customHeight="1" x14ac:dyDescent="0.2">
      <c r="A157" s="2" t="s">
        <v>179</v>
      </c>
      <c r="B157" s="50">
        <v>8001</v>
      </c>
      <c r="C157" s="32">
        <v>1</v>
      </c>
      <c r="D157" s="32" t="s">
        <v>158</v>
      </c>
      <c r="E157" s="32">
        <f>'Iнформація до ФП'!H13</f>
        <v>1</v>
      </c>
      <c r="F157" s="32">
        <f>'Iнформація до ФП'!J13</f>
        <v>1</v>
      </c>
      <c r="G157" s="32">
        <f t="shared" ref="G157:G164" si="12">F157-E157</f>
        <v>0</v>
      </c>
      <c r="H157" s="32">
        <f t="shared" ref="H157:H164" si="13">F157/E157*100</f>
        <v>100</v>
      </c>
    </row>
    <row r="158" spans="1:8" ht="11.45" customHeight="1" x14ac:dyDescent="0.2">
      <c r="A158" s="2" t="s">
        <v>180</v>
      </c>
      <c r="B158" s="50">
        <v>8002</v>
      </c>
      <c r="C158" s="32">
        <v>192</v>
      </c>
      <c r="D158" s="32" t="s">
        <v>158</v>
      </c>
      <c r="E158" s="32">
        <f>'Iнформація до ФП'!H14</f>
        <v>199</v>
      </c>
      <c r="F158" s="32">
        <f>'Iнформація до ФП'!J14</f>
        <v>208</v>
      </c>
      <c r="G158" s="32">
        <f t="shared" si="12"/>
        <v>9</v>
      </c>
      <c r="H158" s="32">
        <f t="shared" si="13"/>
        <v>104.52261306532664</v>
      </c>
    </row>
    <row r="159" spans="1:8" ht="11.45" customHeight="1" x14ac:dyDescent="0.2">
      <c r="A159" s="2" t="s">
        <v>181</v>
      </c>
      <c r="B159" s="50">
        <v>8003</v>
      </c>
      <c r="C159" s="32">
        <v>1698</v>
      </c>
      <c r="D159" s="32" t="s">
        <v>158</v>
      </c>
      <c r="E159" s="32">
        <f>'Iнформація до ФП'!H15</f>
        <v>1371</v>
      </c>
      <c r="F159" s="32">
        <f>'Iнформація до ФП'!J15</f>
        <v>1468</v>
      </c>
      <c r="G159" s="32">
        <f t="shared" si="12"/>
        <v>97</v>
      </c>
      <c r="H159" s="32">
        <f t="shared" si="13"/>
        <v>107.07512764405543</v>
      </c>
    </row>
    <row r="160" spans="1:8" ht="13.5" customHeight="1" x14ac:dyDescent="0.2">
      <c r="A160" s="3" t="s">
        <v>92</v>
      </c>
      <c r="B160" s="10">
        <v>8010</v>
      </c>
      <c r="C160" s="35">
        <f>'I. Формування фін. рез.'!C119</f>
        <v>101106</v>
      </c>
      <c r="D160" s="35" t="s">
        <v>158</v>
      </c>
      <c r="E160" s="35">
        <f>'I. Формування фін. рез.'!E119</f>
        <v>96085</v>
      </c>
      <c r="F160" s="35">
        <f>'I. Формування фін. рез.'!F119</f>
        <v>115120</v>
      </c>
      <c r="G160" s="35">
        <f t="shared" si="12"/>
        <v>19035</v>
      </c>
      <c r="H160" s="35">
        <f t="shared" si="13"/>
        <v>119.81058437841494</v>
      </c>
    </row>
    <row r="161" spans="1:8" ht="27" customHeight="1" x14ac:dyDescent="0.2">
      <c r="A161" s="3" t="s">
        <v>182</v>
      </c>
      <c r="B161" s="10">
        <v>8020</v>
      </c>
      <c r="C161" s="35">
        <f>C160/C156/12*1000</f>
        <v>4455.5790586991006</v>
      </c>
      <c r="D161" s="35" t="s">
        <v>158</v>
      </c>
      <c r="E161" s="35">
        <f>'Iнформація до ФП'!H24</f>
        <v>5096.806704858901</v>
      </c>
      <c r="F161" s="35">
        <f>'Iнформація до ФП'!J24</f>
        <v>5720.5326972768835</v>
      </c>
      <c r="G161" s="35">
        <f t="shared" si="12"/>
        <v>623.72599241798252</v>
      </c>
      <c r="H161" s="35">
        <f t="shared" si="13"/>
        <v>112.2375838154382</v>
      </c>
    </row>
    <row r="162" spans="1:8" ht="11.45" customHeight="1" x14ac:dyDescent="0.2">
      <c r="A162" s="2" t="s">
        <v>179</v>
      </c>
      <c r="B162" s="50">
        <v>8021</v>
      </c>
      <c r="C162" s="32">
        <f>430/12*1000</f>
        <v>35833.333333333336</v>
      </c>
      <c r="D162" s="32" t="s">
        <v>158</v>
      </c>
      <c r="E162" s="32">
        <f>'Iнформація до ФП'!H25</f>
        <v>46666.666666666664</v>
      </c>
      <c r="F162" s="32">
        <f>'Iнформація до ФП'!J25</f>
        <v>40433.333333333328</v>
      </c>
      <c r="G162" s="32">
        <f t="shared" si="12"/>
        <v>-6233.3333333333358</v>
      </c>
      <c r="H162" s="32">
        <f t="shared" si="13"/>
        <v>86.642857142857139</v>
      </c>
    </row>
    <row r="163" spans="1:8" ht="11.45" customHeight="1" x14ac:dyDescent="0.2">
      <c r="A163" s="2" t="s">
        <v>180</v>
      </c>
      <c r="B163" s="50">
        <v>8022</v>
      </c>
      <c r="C163" s="32">
        <f>22358.9/192/12*1000</f>
        <v>9704.3836805555566</v>
      </c>
      <c r="D163" s="32" t="s">
        <v>158</v>
      </c>
      <c r="E163" s="32">
        <f>'Iнформація до ФП'!H26</f>
        <v>9832.4958123953093</v>
      </c>
      <c r="F163" s="32">
        <f>'Iнформація до ФП'!J26</f>
        <v>9774.7996794871797</v>
      </c>
      <c r="G163" s="32">
        <f t="shared" si="12"/>
        <v>-57.696132908129584</v>
      </c>
      <c r="H163" s="32">
        <f t="shared" si="13"/>
        <v>99.413209687459059</v>
      </c>
    </row>
    <row r="164" spans="1:8" ht="11.45" customHeight="1" x14ac:dyDescent="0.2">
      <c r="A164" s="2" t="s">
        <v>181</v>
      </c>
      <c r="B164" s="50">
        <v>8023</v>
      </c>
      <c r="C164" s="32">
        <f>78317/1698/12*1000</f>
        <v>3843.5904986258342</v>
      </c>
      <c r="D164" s="32" t="s">
        <v>158</v>
      </c>
      <c r="E164" s="32">
        <f>'Iнформація до ФП'!H27</f>
        <v>4379.1028446389491</v>
      </c>
      <c r="F164" s="32">
        <f>'Iнформація до ФП'!J27</f>
        <v>5122.4398274296091</v>
      </c>
      <c r="G164" s="32">
        <f t="shared" si="12"/>
        <v>743.33698279065993</v>
      </c>
      <c r="H164" s="32">
        <f t="shared" si="13"/>
        <v>116.97464090620019</v>
      </c>
    </row>
    <row r="166" spans="1:8" ht="11.45" customHeight="1" x14ac:dyDescent="0.2">
      <c r="A166" s="49" t="s">
        <v>183</v>
      </c>
      <c r="B166" s="49"/>
      <c r="C166" s="49"/>
      <c r="D166" s="49"/>
      <c r="E166" s="49"/>
      <c r="F166" s="49"/>
      <c r="G166" s="49"/>
      <c r="H166" s="49"/>
    </row>
    <row r="167" spans="1:8" ht="11.45" customHeight="1" x14ac:dyDescent="0.2">
      <c r="A167" s="22" t="s">
        <v>571</v>
      </c>
      <c r="B167" s="49"/>
      <c r="C167" s="72"/>
      <c r="D167" s="72"/>
      <c r="E167" s="49"/>
      <c r="F167" s="73" t="s">
        <v>599</v>
      </c>
      <c r="G167" s="74"/>
      <c r="H167" s="74"/>
    </row>
    <row r="168" spans="1:8" ht="11.45" customHeight="1" x14ac:dyDescent="0.2">
      <c r="A168" s="52" t="s">
        <v>184</v>
      </c>
      <c r="B168" s="49"/>
      <c r="C168" s="71" t="s">
        <v>185</v>
      </c>
      <c r="D168" s="71"/>
      <c r="E168" s="49"/>
      <c r="F168" s="71" t="s">
        <v>186</v>
      </c>
      <c r="G168" s="71"/>
      <c r="H168" s="71"/>
    </row>
    <row r="169" spans="1:8" ht="11.45" customHeight="1" x14ac:dyDescent="0.2">
      <c r="A169" s="49"/>
      <c r="B169" s="49"/>
      <c r="C169" s="49"/>
      <c r="D169" s="49"/>
      <c r="E169" s="49"/>
      <c r="F169" s="49"/>
      <c r="G169" s="49"/>
      <c r="H169" s="49"/>
    </row>
  </sheetData>
  <mergeCells count="48">
    <mergeCell ref="E1:H1"/>
    <mergeCell ref="B17:H17"/>
    <mergeCell ref="B18:H18"/>
    <mergeCell ref="B19:H19"/>
    <mergeCell ref="B15:D15"/>
    <mergeCell ref="E15:F15"/>
    <mergeCell ref="G15:H15"/>
    <mergeCell ref="B16:C16"/>
    <mergeCell ref="D16:H16"/>
    <mergeCell ref="A7:F7"/>
    <mergeCell ref="E2:H2"/>
    <mergeCell ref="A3:B3"/>
    <mergeCell ref="E3:H3"/>
    <mergeCell ref="E4:H4"/>
    <mergeCell ref="E5:H5"/>
    <mergeCell ref="B8:F8"/>
    <mergeCell ref="A24:H24"/>
    <mergeCell ref="A23:H23"/>
    <mergeCell ref="A25:H25"/>
    <mergeCell ref="G14:H14"/>
    <mergeCell ref="B11:F11"/>
    <mergeCell ref="A14:D14"/>
    <mergeCell ref="E14:F14"/>
    <mergeCell ref="B9:F9"/>
    <mergeCell ref="B10:F10"/>
    <mergeCell ref="B13:F13"/>
    <mergeCell ref="A79:H79"/>
    <mergeCell ref="A105:H105"/>
    <mergeCell ref="A91:H91"/>
    <mergeCell ref="A30:H30"/>
    <mergeCell ref="A69:H69"/>
    <mergeCell ref="A78:H78"/>
    <mergeCell ref="B12:F12"/>
    <mergeCell ref="A27:A28"/>
    <mergeCell ref="B27:B28"/>
    <mergeCell ref="C27:D27"/>
    <mergeCell ref="E27:H27"/>
    <mergeCell ref="A21:H21"/>
    <mergeCell ref="A22:H22"/>
    <mergeCell ref="A146:H146"/>
    <mergeCell ref="A155:H155"/>
    <mergeCell ref="C168:D168"/>
    <mergeCell ref="F168:H168"/>
    <mergeCell ref="A113:H113"/>
    <mergeCell ref="A126:H126"/>
    <mergeCell ref="A132:H132"/>
    <mergeCell ref="C167:D167"/>
    <mergeCell ref="F167:H167"/>
  </mergeCells>
  <phoneticPr fontId="0" type="noConversion"/>
  <pageMargins left="0.23622047244094491" right="0.23622047244094491" top="0.35433070866141736" bottom="0.35433070866141736" header="0" footer="0"/>
  <pageSetup paperSize="9" fitToHeight="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I127"/>
  <sheetViews>
    <sheetView topLeftCell="A88" workbookViewId="0">
      <selection activeCell="D79" sqref="D79"/>
    </sheetView>
  </sheetViews>
  <sheetFormatPr defaultColWidth="8.7109375" defaultRowHeight="11.45" customHeight="1" x14ac:dyDescent="0.2"/>
  <cols>
    <col min="1" max="1" width="58.85546875" style="5" customWidth="1"/>
    <col min="2" max="2" width="8.85546875" style="8" customWidth="1"/>
    <col min="3" max="3" width="14.7109375" style="5" customWidth="1"/>
    <col min="4" max="4" width="16.5703125" style="5" customWidth="1"/>
    <col min="5" max="5" width="15.5703125" style="5" customWidth="1"/>
    <col min="6" max="6" width="13.85546875" style="5" customWidth="1"/>
    <col min="7" max="7" width="16.28515625" style="5" customWidth="1"/>
    <col min="8" max="8" width="13.28515625" style="5" customWidth="1"/>
    <col min="9" max="9" width="40.85546875" style="5" customWidth="1"/>
    <col min="10" max="16384" width="8.7109375" style="9"/>
  </cols>
  <sheetData>
    <row r="1" spans="1:9" s="5" customFormat="1" ht="12.95" customHeight="1" x14ac:dyDescent="0.2">
      <c r="A1" s="71" t="s">
        <v>187</v>
      </c>
      <c r="B1" s="71"/>
      <c r="C1" s="71"/>
      <c r="D1" s="71"/>
      <c r="E1" s="71"/>
      <c r="F1" s="71"/>
      <c r="G1" s="71"/>
      <c r="H1" s="71"/>
    </row>
    <row r="2" spans="1:9" s="5" customFormat="1" ht="12.95" customHeight="1" x14ac:dyDescent="0.2"/>
    <row r="3" spans="1:9" s="5" customFormat="1" ht="26.1" customHeight="1" x14ac:dyDescent="0.2">
      <c r="A3" s="101" t="s">
        <v>42</v>
      </c>
      <c r="B3" s="101" t="s">
        <v>43</v>
      </c>
      <c r="C3" s="101" t="s">
        <v>44</v>
      </c>
      <c r="D3" s="101"/>
      <c r="E3" s="101" t="str">
        <f>'Осн. фін. пок.'!E27:H27</f>
        <v>Звітний період (2017 р.)</v>
      </c>
      <c r="F3" s="101"/>
      <c r="G3" s="101"/>
      <c r="H3" s="101"/>
      <c r="I3" s="101" t="s">
        <v>188</v>
      </c>
    </row>
    <row r="4" spans="1:9" s="5" customFormat="1" ht="12.95" customHeight="1" x14ac:dyDescent="0.2">
      <c r="A4" s="101"/>
      <c r="B4" s="101"/>
      <c r="C4" s="46" t="s">
        <v>45</v>
      </c>
      <c r="D4" s="47" t="s">
        <v>46</v>
      </c>
      <c r="E4" s="46" t="s">
        <v>47</v>
      </c>
      <c r="F4" s="46" t="s">
        <v>48</v>
      </c>
      <c r="G4" s="46" t="s">
        <v>49</v>
      </c>
      <c r="H4" s="46" t="s">
        <v>50</v>
      </c>
      <c r="I4" s="101"/>
    </row>
    <row r="5" spans="1:9" s="5" customFormat="1" ht="12.95" customHeight="1" x14ac:dyDescent="0.2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</row>
    <row r="6" spans="1:9" s="5" customFormat="1" ht="12.95" customHeight="1" x14ac:dyDescent="0.2">
      <c r="A6" s="102" t="s">
        <v>189</v>
      </c>
      <c r="B6" s="102"/>
      <c r="C6" s="102"/>
      <c r="D6" s="102"/>
      <c r="E6" s="102"/>
      <c r="F6" s="102"/>
      <c r="G6" s="102"/>
      <c r="H6" s="102"/>
      <c r="I6" s="102"/>
    </row>
    <row r="7" spans="1:9" s="5" customFormat="1" ht="26.1" customHeight="1" x14ac:dyDescent="0.2">
      <c r="A7" s="45" t="s">
        <v>190</v>
      </c>
      <c r="B7" s="53">
        <v>1000</v>
      </c>
      <c r="C7" s="35">
        <v>642964</v>
      </c>
      <c r="D7" s="35">
        <v>781040</v>
      </c>
      <c r="E7" s="35">
        <v>676570</v>
      </c>
      <c r="F7" s="35">
        <f>D7</f>
        <v>781040</v>
      </c>
      <c r="G7" s="35">
        <f>F7-E7</f>
        <v>104470</v>
      </c>
      <c r="H7" s="35">
        <f>F7/E7*100</f>
        <v>115.44112213074776</v>
      </c>
      <c r="I7" s="54"/>
    </row>
    <row r="8" spans="1:9" s="5" customFormat="1" ht="12.95" customHeight="1" x14ac:dyDescent="0.2">
      <c r="A8" s="45" t="s">
        <v>54</v>
      </c>
      <c r="B8" s="53">
        <v>1010</v>
      </c>
      <c r="C8" s="35">
        <f>SUM(C9:C16)</f>
        <v>-557660</v>
      </c>
      <c r="D8" s="35">
        <f>SUM(D9:D16)</f>
        <v>-745030</v>
      </c>
      <c r="E8" s="35">
        <f>SUM(E9:E16)</f>
        <v>-582350</v>
      </c>
      <c r="F8" s="35">
        <f t="shared" ref="F8:F71" si="0">D8</f>
        <v>-745030</v>
      </c>
      <c r="G8" s="35">
        <f t="shared" ref="G8:G67" si="1">F8-E8</f>
        <v>-162680</v>
      </c>
      <c r="H8" s="35">
        <f t="shared" ref="H8:H67" si="2">F8/E8*100</f>
        <v>127.93509058126556</v>
      </c>
      <c r="I8" s="54"/>
    </row>
    <row r="9" spans="1:9" s="5" customFormat="1" ht="12.95" customHeight="1" x14ac:dyDescent="0.2">
      <c r="A9" s="41" t="s">
        <v>191</v>
      </c>
      <c r="B9" s="55">
        <v>1011</v>
      </c>
      <c r="C9" s="32">
        <v>-17379.5</v>
      </c>
      <c r="D9" s="32">
        <v>-23178.2</v>
      </c>
      <c r="E9" s="32">
        <v>-20110</v>
      </c>
      <c r="F9" s="32">
        <f t="shared" si="0"/>
        <v>-23178.2</v>
      </c>
      <c r="G9" s="32">
        <f t="shared" si="1"/>
        <v>-3068.2000000000007</v>
      </c>
      <c r="H9" s="32">
        <f t="shared" si="2"/>
        <v>115.25708602685232</v>
      </c>
      <c r="I9" s="56"/>
    </row>
    <row r="10" spans="1:9" s="5" customFormat="1" ht="12.95" customHeight="1" x14ac:dyDescent="0.2">
      <c r="A10" s="41" t="s">
        <v>192</v>
      </c>
      <c r="B10" s="55">
        <v>1012</v>
      </c>
      <c r="C10" s="32">
        <v>-26169.8</v>
      </c>
      <c r="D10" s="32">
        <v>-37172.300000000003</v>
      </c>
      <c r="E10" s="32">
        <v>-27675</v>
      </c>
      <c r="F10" s="32">
        <f t="shared" si="0"/>
        <v>-37172.300000000003</v>
      </c>
      <c r="G10" s="32">
        <f t="shared" si="1"/>
        <v>-9497.3000000000029</v>
      </c>
      <c r="H10" s="32">
        <f t="shared" si="2"/>
        <v>134.31725383920508</v>
      </c>
      <c r="I10" s="56"/>
    </row>
    <row r="11" spans="1:9" s="5" customFormat="1" ht="12.95" customHeight="1" x14ac:dyDescent="0.2">
      <c r="A11" s="41" t="s">
        <v>193</v>
      </c>
      <c r="B11" s="55">
        <v>1013</v>
      </c>
      <c r="C11" s="32">
        <v>-7490.6</v>
      </c>
      <c r="D11" s="32">
        <v>-9589.7000000000007</v>
      </c>
      <c r="E11" s="32">
        <v>-6655</v>
      </c>
      <c r="F11" s="32">
        <f t="shared" si="0"/>
        <v>-9589.7000000000007</v>
      </c>
      <c r="G11" s="32">
        <f t="shared" si="1"/>
        <v>-2934.7000000000007</v>
      </c>
      <c r="H11" s="32">
        <f t="shared" si="2"/>
        <v>144.09767092411724</v>
      </c>
      <c r="I11" s="56"/>
    </row>
    <row r="12" spans="1:9" s="5" customFormat="1" ht="12.95" customHeight="1" x14ac:dyDescent="0.2">
      <c r="A12" s="41" t="s">
        <v>92</v>
      </c>
      <c r="B12" s="55">
        <v>1014</v>
      </c>
      <c r="C12" s="32">
        <v>-75859.199999999997</v>
      </c>
      <c r="D12" s="32">
        <v>-83690.899999999994</v>
      </c>
      <c r="E12" s="32">
        <v>-69405</v>
      </c>
      <c r="F12" s="32">
        <f t="shared" si="0"/>
        <v>-83690.899999999994</v>
      </c>
      <c r="G12" s="32">
        <f t="shared" si="1"/>
        <v>-14285.899999999994</v>
      </c>
      <c r="H12" s="32">
        <f t="shared" si="2"/>
        <v>120.58338736402277</v>
      </c>
      <c r="I12" s="56"/>
    </row>
    <row r="13" spans="1:9" s="5" customFormat="1" ht="12.95" customHeight="1" x14ac:dyDescent="0.2">
      <c r="A13" s="41" t="s">
        <v>93</v>
      </c>
      <c r="B13" s="55">
        <v>1015</v>
      </c>
      <c r="C13" s="32">
        <v>-17060.7</v>
      </c>
      <c r="D13" s="32">
        <v>-19171.8</v>
      </c>
      <c r="E13" s="32">
        <v>-15490</v>
      </c>
      <c r="F13" s="32">
        <f t="shared" si="0"/>
        <v>-19171.8</v>
      </c>
      <c r="G13" s="32">
        <f t="shared" si="1"/>
        <v>-3681.7999999999993</v>
      </c>
      <c r="H13" s="32">
        <f t="shared" si="2"/>
        <v>123.76888315041963</v>
      </c>
      <c r="I13" s="56"/>
    </row>
    <row r="14" spans="1:9" s="5" customFormat="1" ht="26.1" customHeight="1" x14ac:dyDescent="0.2">
      <c r="A14" s="41" t="s">
        <v>194</v>
      </c>
      <c r="B14" s="55">
        <v>1016</v>
      </c>
      <c r="C14" s="32">
        <v>-76106.3</v>
      </c>
      <c r="D14" s="32">
        <v>-112061.4</v>
      </c>
      <c r="E14" s="32">
        <v>-73900</v>
      </c>
      <c r="F14" s="32">
        <f t="shared" si="0"/>
        <v>-112061.4</v>
      </c>
      <c r="G14" s="32">
        <f t="shared" si="1"/>
        <v>-38161.399999999994</v>
      </c>
      <c r="H14" s="32">
        <f t="shared" si="2"/>
        <v>151.63924221921513</v>
      </c>
      <c r="I14" s="56"/>
    </row>
    <row r="15" spans="1:9" s="5" customFormat="1" ht="12.95" customHeight="1" x14ac:dyDescent="0.2">
      <c r="A15" s="41" t="s">
        <v>195</v>
      </c>
      <c r="B15" s="55">
        <v>1017</v>
      </c>
      <c r="C15" s="32">
        <v>-11683.8</v>
      </c>
      <c r="D15" s="32">
        <v>-14230.7</v>
      </c>
      <c r="E15" s="32">
        <v>-11790</v>
      </c>
      <c r="F15" s="32">
        <f t="shared" si="0"/>
        <v>-14230.7</v>
      </c>
      <c r="G15" s="32">
        <f t="shared" si="1"/>
        <v>-2440.7000000000007</v>
      </c>
      <c r="H15" s="32">
        <f t="shared" si="2"/>
        <v>120.70144189991518</v>
      </c>
      <c r="I15" s="56"/>
    </row>
    <row r="16" spans="1:9" s="5" customFormat="1" ht="12.95" customHeight="1" x14ac:dyDescent="0.2">
      <c r="A16" s="41" t="s">
        <v>196</v>
      </c>
      <c r="B16" s="55">
        <v>1018</v>
      </c>
      <c r="C16" s="32">
        <f>SUM(C17:C19)</f>
        <v>-325910.09999999998</v>
      </c>
      <c r="D16" s="32">
        <f>SUM(D17:D19)</f>
        <v>-445935</v>
      </c>
      <c r="E16" s="32">
        <f>SUM(E17:E19)</f>
        <v>-357325</v>
      </c>
      <c r="F16" s="32">
        <f t="shared" si="0"/>
        <v>-445935</v>
      </c>
      <c r="G16" s="32">
        <f t="shared" si="1"/>
        <v>-88610</v>
      </c>
      <c r="H16" s="32">
        <f t="shared" si="2"/>
        <v>124.79815294199959</v>
      </c>
      <c r="I16" s="56"/>
    </row>
    <row r="17" spans="1:9" s="5" customFormat="1" ht="12.95" customHeight="1" x14ac:dyDescent="0.2">
      <c r="A17" s="43" t="s">
        <v>197</v>
      </c>
      <c r="B17" s="46" t="s">
        <v>489</v>
      </c>
      <c r="C17" s="32">
        <v>-22247</v>
      </c>
      <c r="D17" s="32">
        <v>-32894.800000000003</v>
      </c>
      <c r="E17" s="32">
        <v>-20670</v>
      </c>
      <c r="F17" s="32">
        <f t="shared" si="0"/>
        <v>-32894.800000000003</v>
      </c>
      <c r="G17" s="32">
        <f t="shared" si="1"/>
        <v>-12224.800000000003</v>
      </c>
      <c r="H17" s="32">
        <f t="shared" si="2"/>
        <v>159.14271891630383</v>
      </c>
      <c r="I17" s="56"/>
    </row>
    <row r="18" spans="1:9" s="5" customFormat="1" ht="12.95" customHeight="1" x14ac:dyDescent="0.2">
      <c r="A18" s="43" t="s">
        <v>550</v>
      </c>
      <c r="B18" s="46" t="s">
        <v>490</v>
      </c>
      <c r="C18" s="32">
        <v>-244382.3</v>
      </c>
      <c r="D18" s="32">
        <v>-331182.90000000002</v>
      </c>
      <c r="E18" s="32">
        <v>-303375</v>
      </c>
      <c r="F18" s="32">
        <f t="shared" si="0"/>
        <v>-331182.90000000002</v>
      </c>
      <c r="G18" s="32">
        <f t="shared" si="1"/>
        <v>-27807.900000000023</v>
      </c>
      <c r="H18" s="32">
        <f t="shared" si="2"/>
        <v>109.16618046971571</v>
      </c>
      <c r="I18" s="56"/>
    </row>
    <row r="19" spans="1:9" s="5" customFormat="1" ht="119.25" customHeight="1" x14ac:dyDescent="0.2">
      <c r="A19" s="43" t="s">
        <v>198</v>
      </c>
      <c r="B19" s="46" t="s">
        <v>491</v>
      </c>
      <c r="C19" s="32">
        <v>-59280.800000000003</v>
      </c>
      <c r="D19" s="32">
        <v>-81857.3</v>
      </c>
      <c r="E19" s="32">
        <f>-336655+303375</f>
        <v>-33280</v>
      </c>
      <c r="F19" s="32">
        <f t="shared" si="0"/>
        <v>-81857.3</v>
      </c>
      <c r="G19" s="32">
        <f t="shared" si="1"/>
        <v>-48577.3</v>
      </c>
      <c r="H19" s="32">
        <f t="shared" si="2"/>
        <v>245.96544471153848</v>
      </c>
      <c r="I19" s="57" t="s">
        <v>586</v>
      </c>
    </row>
    <row r="20" spans="1:9" s="5" customFormat="1" ht="12.95" customHeight="1" x14ac:dyDescent="0.2">
      <c r="A20" s="45" t="s">
        <v>199</v>
      </c>
      <c r="B20" s="53">
        <v>1020</v>
      </c>
      <c r="C20" s="35">
        <f>SUM(C7,C8)</f>
        <v>85304</v>
      </c>
      <c r="D20" s="35">
        <f>SUM(D7,D8)</f>
        <v>36010</v>
      </c>
      <c r="E20" s="35">
        <f>SUM(E7,E8)</f>
        <v>94220</v>
      </c>
      <c r="F20" s="35">
        <f t="shared" si="0"/>
        <v>36010</v>
      </c>
      <c r="G20" s="35">
        <f t="shared" si="1"/>
        <v>-58210</v>
      </c>
      <c r="H20" s="35">
        <f t="shared" si="2"/>
        <v>38.219061770324771</v>
      </c>
      <c r="I20" s="54"/>
    </row>
    <row r="21" spans="1:9" s="5" customFormat="1" ht="12.95" customHeight="1" x14ac:dyDescent="0.2">
      <c r="A21" s="45" t="s">
        <v>56</v>
      </c>
      <c r="B21" s="53">
        <v>1030</v>
      </c>
      <c r="C21" s="35">
        <f>SUM(C22:C41,C43)</f>
        <v>-64322</v>
      </c>
      <c r="D21" s="35">
        <f>SUM(D22:D41,D43)</f>
        <v>-59693.000000000007</v>
      </c>
      <c r="E21" s="35">
        <f>SUM(E22:E41,E43)</f>
        <v>-68405</v>
      </c>
      <c r="F21" s="35">
        <f t="shared" si="0"/>
        <v>-59693.000000000007</v>
      </c>
      <c r="G21" s="35">
        <f t="shared" si="1"/>
        <v>8711.9999999999927</v>
      </c>
      <c r="H21" s="35">
        <f t="shared" si="2"/>
        <v>87.264088882391647</v>
      </c>
      <c r="I21" s="54"/>
    </row>
    <row r="22" spans="1:9" s="5" customFormat="1" ht="12.95" customHeight="1" x14ac:dyDescent="0.2">
      <c r="A22" s="41" t="s">
        <v>57</v>
      </c>
      <c r="B22" s="55">
        <v>1031</v>
      </c>
      <c r="C22" s="32">
        <v>-1817.2</v>
      </c>
      <c r="D22" s="32">
        <v>-1480.6</v>
      </c>
      <c r="E22" s="32">
        <v>-1420</v>
      </c>
      <c r="F22" s="32">
        <f t="shared" si="0"/>
        <v>-1480.6</v>
      </c>
      <c r="G22" s="32">
        <f t="shared" si="1"/>
        <v>-60.599999999999909</v>
      </c>
      <c r="H22" s="32">
        <f t="shared" si="2"/>
        <v>104.26760563380282</v>
      </c>
      <c r="I22" s="56"/>
    </row>
    <row r="23" spans="1:9" s="5" customFormat="1" ht="12.95" customHeight="1" x14ac:dyDescent="0.2">
      <c r="A23" s="41" t="s">
        <v>58</v>
      </c>
      <c r="B23" s="55">
        <v>1032</v>
      </c>
      <c r="C23" s="32" t="s">
        <v>53</v>
      </c>
      <c r="D23" s="32" t="s">
        <v>53</v>
      </c>
      <c r="E23" s="32" t="s">
        <v>53</v>
      </c>
      <c r="F23" s="32" t="str">
        <f t="shared" si="0"/>
        <v>0,0</v>
      </c>
      <c r="G23" s="32">
        <f t="shared" si="1"/>
        <v>0</v>
      </c>
      <c r="H23" s="32">
        <v>0</v>
      </c>
      <c r="I23" s="56"/>
    </row>
    <row r="24" spans="1:9" s="5" customFormat="1" ht="12.95" customHeight="1" x14ac:dyDescent="0.2">
      <c r="A24" s="41" t="s">
        <v>59</v>
      </c>
      <c r="B24" s="55">
        <v>1033</v>
      </c>
      <c r="C24" s="32" t="s">
        <v>53</v>
      </c>
      <c r="D24" s="32" t="s">
        <v>53</v>
      </c>
      <c r="E24" s="32" t="s">
        <v>53</v>
      </c>
      <c r="F24" s="32" t="str">
        <f t="shared" si="0"/>
        <v>0,0</v>
      </c>
      <c r="G24" s="32">
        <f t="shared" si="1"/>
        <v>0</v>
      </c>
      <c r="H24" s="32">
        <v>0</v>
      </c>
      <c r="I24" s="56"/>
    </row>
    <row r="25" spans="1:9" s="5" customFormat="1" ht="12.95" customHeight="1" x14ac:dyDescent="0.2">
      <c r="A25" s="41" t="s">
        <v>60</v>
      </c>
      <c r="B25" s="55">
        <v>1034</v>
      </c>
      <c r="C25" s="32">
        <v>0</v>
      </c>
      <c r="D25" s="32" t="s">
        <v>53</v>
      </c>
      <c r="E25" s="32">
        <v>-20</v>
      </c>
      <c r="F25" s="32" t="str">
        <f t="shared" si="0"/>
        <v>0,0</v>
      </c>
      <c r="G25" s="32">
        <f t="shared" si="1"/>
        <v>20</v>
      </c>
      <c r="H25" s="32">
        <f t="shared" si="2"/>
        <v>0</v>
      </c>
      <c r="I25" s="56"/>
    </row>
    <row r="26" spans="1:9" s="5" customFormat="1" ht="12.95" customHeight="1" x14ac:dyDescent="0.2">
      <c r="A26" s="41" t="s">
        <v>61</v>
      </c>
      <c r="B26" s="55">
        <v>1035</v>
      </c>
      <c r="C26" s="32">
        <v>0</v>
      </c>
      <c r="D26" s="32">
        <v>-1656.3</v>
      </c>
      <c r="E26" s="32">
        <v>-350</v>
      </c>
      <c r="F26" s="32">
        <f t="shared" si="0"/>
        <v>-1656.3</v>
      </c>
      <c r="G26" s="32">
        <f t="shared" si="1"/>
        <v>-1306.3</v>
      </c>
      <c r="H26" s="32" t="s">
        <v>457</v>
      </c>
      <c r="I26" s="56"/>
    </row>
    <row r="27" spans="1:9" s="5" customFormat="1" ht="12.95" customHeight="1" x14ac:dyDescent="0.2">
      <c r="A27" s="41" t="s">
        <v>200</v>
      </c>
      <c r="B27" s="55">
        <v>1036</v>
      </c>
      <c r="C27" s="32">
        <v>-1538.2</v>
      </c>
      <c r="D27" s="32">
        <v>-2248.1999999999998</v>
      </c>
      <c r="E27" s="32">
        <v>-1400</v>
      </c>
      <c r="F27" s="32">
        <f t="shared" si="0"/>
        <v>-2248.1999999999998</v>
      </c>
      <c r="G27" s="32">
        <f t="shared" si="1"/>
        <v>-848.19999999999982</v>
      </c>
      <c r="H27" s="32">
        <f t="shared" si="2"/>
        <v>160.58571428571426</v>
      </c>
      <c r="I27" s="56"/>
    </row>
    <row r="28" spans="1:9" s="5" customFormat="1" ht="12.95" customHeight="1" x14ac:dyDescent="0.2">
      <c r="A28" s="41" t="s">
        <v>201</v>
      </c>
      <c r="B28" s="55">
        <v>1037</v>
      </c>
      <c r="C28" s="32">
        <v>-303.10000000000002</v>
      </c>
      <c r="D28" s="32">
        <v>-284.10000000000002</v>
      </c>
      <c r="E28" s="32">
        <v>-260</v>
      </c>
      <c r="F28" s="32">
        <f t="shared" si="0"/>
        <v>-284.10000000000002</v>
      </c>
      <c r="G28" s="32">
        <f t="shared" si="1"/>
        <v>-24.100000000000023</v>
      </c>
      <c r="H28" s="32">
        <f t="shared" si="2"/>
        <v>109.26923076923079</v>
      </c>
      <c r="I28" s="56"/>
    </row>
    <row r="29" spans="1:9" s="5" customFormat="1" ht="12.95" customHeight="1" x14ac:dyDescent="0.2">
      <c r="A29" s="41" t="s">
        <v>202</v>
      </c>
      <c r="B29" s="55">
        <v>1038</v>
      </c>
      <c r="C29" s="32">
        <v>-22358.9</v>
      </c>
      <c r="D29" s="32">
        <v>-24397.9</v>
      </c>
      <c r="E29" s="32">
        <v>-23040</v>
      </c>
      <c r="F29" s="32">
        <f t="shared" si="0"/>
        <v>-24397.9</v>
      </c>
      <c r="G29" s="32">
        <f t="shared" si="1"/>
        <v>-1357.9000000000015</v>
      </c>
      <c r="H29" s="32">
        <f t="shared" si="2"/>
        <v>105.89366319444444</v>
      </c>
      <c r="I29" s="56"/>
    </row>
    <row r="30" spans="1:9" s="5" customFormat="1" ht="12.95" customHeight="1" x14ac:dyDescent="0.2">
      <c r="A30" s="41" t="s">
        <v>203</v>
      </c>
      <c r="B30" s="55">
        <v>1039</v>
      </c>
      <c r="C30" s="32">
        <v>-4705.8999999999996</v>
      </c>
      <c r="D30" s="32">
        <v>-5223.7</v>
      </c>
      <c r="E30" s="32">
        <v>-5070</v>
      </c>
      <c r="F30" s="32">
        <f t="shared" si="0"/>
        <v>-5223.7</v>
      </c>
      <c r="G30" s="32">
        <f t="shared" si="1"/>
        <v>-153.69999999999982</v>
      </c>
      <c r="H30" s="32">
        <f t="shared" si="2"/>
        <v>103.03155818540432</v>
      </c>
      <c r="I30" s="56"/>
    </row>
    <row r="31" spans="1:9" s="5" customFormat="1" ht="26.1" customHeight="1" x14ac:dyDescent="0.2">
      <c r="A31" s="41" t="s">
        <v>204</v>
      </c>
      <c r="B31" s="55">
        <v>1040</v>
      </c>
      <c r="C31" s="32">
        <v>-618.5</v>
      </c>
      <c r="D31" s="32">
        <v>-631.1</v>
      </c>
      <c r="E31" s="32">
        <v>-515</v>
      </c>
      <c r="F31" s="32">
        <f t="shared" si="0"/>
        <v>-631.1</v>
      </c>
      <c r="G31" s="32">
        <f t="shared" si="1"/>
        <v>-116.10000000000002</v>
      </c>
      <c r="H31" s="32">
        <f t="shared" si="2"/>
        <v>122.54368932038835</v>
      </c>
      <c r="I31" s="56"/>
    </row>
    <row r="32" spans="1:9" s="5" customFormat="1" ht="26.1" customHeight="1" x14ac:dyDescent="0.2">
      <c r="A32" s="41" t="s">
        <v>205</v>
      </c>
      <c r="B32" s="55">
        <v>1041</v>
      </c>
      <c r="C32" s="32" t="s">
        <v>53</v>
      </c>
      <c r="D32" s="32" t="s">
        <v>53</v>
      </c>
      <c r="E32" s="32" t="s">
        <v>53</v>
      </c>
      <c r="F32" s="32" t="str">
        <f t="shared" si="0"/>
        <v>0,0</v>
      </c>
      <c r="G32" s="32">
        <f t="shared" si="1"/>
        <v>0</v>
      </c>
      <c r="H32" s="32">
        <v>0</v>
      </c>
      <c r="I32" s="56"/>
    </row>
    <row r="33" spans="1:9" s="5" customFormat="1" ht="12.95" customHeight="1" x14ac:dyDescent="0.2">
      <c r="A33" s="41" t="s">
        <v>206</v>
      </c>
      <c r="B33" s="55">
        <v>1042</v>
      </c>
      <c r="C33" s="32" t="s">
        <v>53</v>
      </c>
      <c r="D33" s="32" t="s">
        <v>53</v>
      </c>
      <c r="E33" s="32" t="s">
        <v>53</v>
      </c>
      <c r="F33" s="32" t="str">
        <f t="shared" si="0"/>
        <v>0,0</v>
      </c>
      <c r="G33" s="32">
        <f t="shared" si="1"/>
        <v>0</v>
      </c>
      <c r="H33" s="32">
        <v>0</v>
      </c>
      <c r="I33" s="56"/>
    </row>
    <row r="34" spans="1:9" s="5" customFormat="1" ht="12.95" customHeight="1" x14ac:dyDescent="0.2">
      <c r="A34" s="41" t="s">
        <v>207</v>
      </c>
      <c r="B34" s="55">
        <v>1043</v>
      </c>
      <c r="C34" s="32" t="s">
        <v>53</v>
      </c>
      <c r="D34" s="32" t="s">
        <v>53</v>
      </c>
      <c r="E34" s="32" t="s">
        <v>53</v>
      </c>
      <c r="F34" s="32" t="str">
        <f t="shared" si="0"/>
        <v>0,0</v>
      </c>
      <c r="G34" s="32">
        <f t="shared" si="1"/>
        <v>0</v>
      </c>
      <c r="H34" s="32">
        <v>0</v>
      </c>
      <c r="I34" s="56"/>
    </row>
    <row r="35" spans="1:9" s="5" customFormat="1" ht="12.95" customHeight="1" x14ac:dyDescent="0.2">
      <c r="A35" s="41" t="s">
        <v>208</v>
      </c>
      <c r="B35" s="55">
        <v>1044</v>
      </c>
      <c r="C35" s="32" t="s">
        <v>53</v>
      </c>
      <c r="D35" s="32" t="s">
        <v>53</v>
      </c>
      <c r="E35" s="32" t="s">
        <v>53</v>
      </c>
      <c r="F35" s="32" t="str">
        <f t="shared" si="0"/>
        <v>0,0</v>
      </c>
      <c r="G35" s="32">
        <f t="shared" si="1"/>
        <v>0</v>
      </c>
      <c r="H35" s="32">
        <v>0</v>
      </c>
      <c r="I35" s="56"/>
    </row>
    <row r="36" spans="1:9" s="5" customFormat="1" ht="12.95" customHeight="1" x14ac:dyDescent="0.2">
      <c r="A36" s="41" t="s">
        <v>209</v>
      </c>
      <c r="B36" s="55">
        <v>1045</v>
      </c>
      <c r="C36" s="32">
        <v>-240</v>
      </c>
      <c r="D36" s="32">
        <v>-274.89999999999998</v>
      </c>
      <c r="E36" s="32">
        <v>-100</v>
      </c>
      <c r="F36" s="32">
        <f t="shared" si="0"/>
        <v>-274.89999999999998</v>
      </c>
      <c r="G36" s="32">
        <f t="shared" si="1"/>
        <v>-174.89999999999998</v>
      </c>
      <c r="H36" s="32">
        <f t="shared" si="2"/>
        <v>274.89999999999998</v>
      </c>
      <c r="I36" s="56"/>
    </row>
    <row r="37" spans="1:9" s="5" customFormat="1" ht="12.95" customHeight="1" x14ac:dyDescent="0.2">
      <c r="A37" s="41" t="s">
        <v>210</v>
      </c>
      <c r="B37" s="55">
        <v>1046</v>
      </c>
      <c r="C37" s="32">
        <v>-2436</v>
      </c>
      <c r="D37" s="32">
        <v>-2396.5</v>
      </c>
      <c r="E37" s="32">
        <v>-920</v>
      </c>
      <c r="F37" s="32">
        <f t="shared" si="0"/>
        <v>-2396.5</v>
      </c>
      <c r="G37" s="32">
        <f t="shared" si="1"/>
        <v>-1476.5</v>
      </c>
      <c r="H37" s="32">
        <f t="shared" si="2"/>
        <v>260.48913043478257</v>
      </c>
      <c r="I37" s="56"/>
    </row>
    <row r="38" spans="1:9" s="5" customFormat="1" ht="12.95" customHeight="1" x14ac:dyDescent="0.2">
      <c r="A38" s="41" t="s">
        <v>211</v>
      </c>
      <c r="B38" s="55">
        <v>1047</v>
      </c>
      <c r="C38" s="32">
        <v>-874.8</v>
      </c>
      <c r="D38" s="32">
        <v>-24</v>
      </c>
      <c r="E38" s="32" t="s">
        <v>53</v>
      </c>
      <c r="F38" s="32">
        <f t="shared" si="0"/>
        <v>-24</v>
      </c>
      <c r="G38" s="32">
        <f t="shared" si="1"/>
        <v>-24</v>
      </c>
      <c r="H38" s="32">
        <v>0</v>
      </c>
      <c r="I38" s="56"/>
    </row>
    <row r="39" spans="1:9" s="5" customFormat="1" ht="12.95" customHeight="1" x14ac:dyDescent="0.2">
      <c r="A39" s="41" t="s">
        <v>212</v>
      </c>
      <c r="B39" s="55">
        <v>1048</v>
      </c>
      <c r="C39" s="32">
        <v>-2</v>
      </c>
      <c r="D39" s="32">
        <v>0</v>
      </c>
      <c r="E39" s="32" t="s">
        <v>53</v>
      </c>
      <c r="F39" s="32">
        <f t="shared" si="0"/>
        <v>0</v>
      </c>
      <c r="G39" s="32">
        <f t="shared" si="1"/>
        <v>0</v>
      </c>
      <c r="H39" s="32">
        <v>0</v>
      </c>
      <c r="I39" s="56"/>
    </row>
    <row r="40" spans="1:9" s="5" customFormat="1" ht="12.95" customHeight="1" x14ac:dyDescent="0.2">
      <c r="A40" s="41" t="s">
        <v>213</v>
      </c>
      <c r="B40" s="55">
        <v>1049</v>
      </c>
      <c r="C40" s="32">
        <v>-48.5</v>
      </c>
      <c r="D40" s="32">
        <v>-81.5</v>
      </c>
      <c r="E40" s="32">
        <v>-95</v>
      </c>
      <c r="F40" s="32">
        <f t="shared" si="0"/>
        <v>-81.5</v>
      </c>
      <c r="G40" s="32">
        <f t="shared" si="1"/>
        <v>13.5</v>
      </c>
      <c r="H40" s="32">
        <f t="shared" si="2"/>
        <v>85.78947368421052</v>
      </c>
      <c r="I40" s="56"/>
    </row>
    <row r="41" spans="1:9" s="5" customFormat="1" ht="22.5" customHeight="1" x14ac:dyDescent="0.2">
      <c r="A41" s="41" t="s">
        <v>214</v>
      </c>
      <c r="B41" s="55">
        <v>1050</v>
      </c>
      <c r="C41" s="32">
        <v>-2766.7</v>
      </c>
      <c r="D41" s="32">
        <v>-3149.8</v>
      </c>
      <c r="E41" s="32">
        <v>-2775</v>
      </c>
      <c r="F41" s="32">
        <f t="shared" si="0"/>
        <v>-3149.8</v>
      </c>
      <c r="G41" s="32">
        <f t="shared" si="1"/>
        <v>-374.80000000000018</v>
      </c>
      <c r="H41" s="32">
        <f t="shared" si="2"/>
        <v>113.50630630630631</v>
      </c>
      <c r="I41" s="58" t="s">
        <v>587</v>
      </c>
    </row>
    <row r="42" spans="1:9" s="5" customFormat="1" ht="12.95" customHeight="1" x14ac:dyDescent="0.2">
      <c r="A42" s="41" t="s">
        <v>215</v>
      </c>
      <c r="B42" s="7" t="s">
        <v>216</v>
      </c>
      <c r="C42" s="32">
        <v>-483.7</v>
      </c>
      <c r="D42" s="32">
        <v>-645.6</v>
      </c>
      <c r="E42" s="32">
        <v>-300</v>
      </c>
      <c r="F42" s="32">
        <f t="shared" si="0"/>
        <v>-645.6</v>
      </c>
      <c r="G42" s="32">
        <f t="shared" si="1"/>
        <v>-345.6</v>
      </c>
      <c r="H42" s="32">
        <f t="shared" si="2"/>
        <v>215.20000000000002</v>
      </c>
      <c r="I42" s="56"/>
    </row>
    <row r="43" spans="1:9" s="5" customFormat="1" ht="12.95" customHeight="1" x14ac:dyDescent="0.2">
      <c r="A43" s="41" t="s">
        <v>217</v>
      </c>
      <c r="B43" s="55">
        <v>1051</v>
      </c>
      <c r="C43" s="32">
        <f>SUM(C44:C48)</f>
        <v>-26612.2</v>
      </c>
      <c r="D43" s="32">
        <f>SUM(D44:D48)</f>
        <v>-17844.400000000001</v>
      </c>
      <c r="E43" s="32">
        <f>SUM(E44:E48)</f>
        <v>-32440</v>
      </c>
      <c r="F43" s="32">
        <f t="shared" si="0"/>
        <v>-17844.400000000001</v>
      </c>
      <c r="G43" s="32">
        <f t="shared" si="1"/>
        <v>14595.599999999999</v>
      </c>
      <c r="H43" s="32">
        <f t="shared" si="2"/>
        <v>55.007398273736129</v>
      </c>
      <c r="I43" s="56"/>
    </row>
    <row r="44" spans="1:9" s="5" customFormat="1" ht="12.95" customHeight="1" x14ac:dyDescent="0.2">
      <c r="A44" s="43" t="s">
        <v>218</v>
      </c>
      <c r="B44" s="46" t="s">
        <v>492</v>
      </c>
      <c r="C44" s="32">
        <v>-1169.0999999999999</v>
      </c>
      <c r="D44" s="32">
        <v>-1511.2</v>
      </c>
      <c r="E44" s="32">
        <v>-800</v>
      </c>
      <c r="F44" s="32">
        <f t="shared" si="0"/>
        <v>-1511.2</v>
      </c>
      <c r="G44" s="32">
        <f t="shared" si="1"/>
        <v>-711.2</v>
      </c>
      <c r="H44" s="32">
        <f t="shared" si="2"/>
        <v>188.9</v>
      </c>
      <c r="I44" s="56"/>
    </row>
    <row r="45" spans="1:9" s="5" customFormat="1" ht="12.95" customHeight="1" x14ac:dyDescent="0.2">
      <c r="A45" s="43" t="s">
        <v>219</v>
      </c>
      <c r="B45" s="46" t="s">
        <v>493</v>
      </c>
      <c r="C45" s="32">
        <v>-19742.400000000001</v>
      </c>
      <c r="D45" s="32">
        <v>-8583.4</v>
      </c>
      <c r="E45" s="32">
        <v>-25765</v>
      </c>
      <c r="F45" s="32">
        <f t="shared" si="0"/>
        <v>-8583.4</v>
      </c>
      <c r="G45" s="32">
        <f t="shared" si="1"/>
        <v>17181.599999999999</v>
      </c>
      <c r="H45" s="32">
        <f t="shared" si="2"/>
        <v>33.314185911119736</v>
      </c>
      <c r="I45" s="56"/>
    </row>
    <row r="46" spans="1:9" s="5" customFormat="1" ht="12.95" customHeight="1" x14ac:dyDescent="0.2">
      <c r="A46" s="43" t="s">
        <v>220</v>
      </c>
      <c r="B46" s="46" t="s">
        <v>494</v>
      </c>
      <c r="C46" s="32">
        <v>-685.9</v>
      </c>
      <c r="D46" s="32">
        <v>-2259.1</v>
      </c>
      <c r="E46" s="32">
        <v>-500</v>
      </c>
      <c r="F46" s="32">
        <f t="shared" si="0"/>
        <v>-2259.1</v>
      </c>
      <c r="G46" s="32">
        <f t="shared" si="1"/>
        <v>-1759.1</v>
      </c>
      <c r="H46" s="32">
        <f t="shared" si="2"/>
        <v>451.82000000000005</v>
      </c>
      <c r="I46" s="56"/>
    </row>
    <row r="47" spans="1:9" s="5" customFormat="1" ht="12.95" customHeight="1" x14ac:dyDescent="0.2">
      <c r="A47" s="43" t="s">
        <v>221</v>
      </c>
      <c r="B47" s="46" t="s">
        <v>495</v>
      </c>
      <c r="C47" s="32">
        <v>-2485.3000000000002</v>
      </c>
      <c r="D47" s="32">
        <v>-2438.6999999999998</v>
      </c>
      <c r="E47" s="32">
        <v>-2125</v>
      </c>
      <c r="F47" s="32">
        <f t="shared" si="0"/>
        <v>-2438.6999999999998</v>
      </c>
      <c r="G47" s="32">
        <f t="shared" si="1"/>
        <v>-313.69999999999982</v>
      </c>
      <c r="H47" s="32">
        <f t="shared" si="2"/>
        <v>114.76235294117647</v>
      </c>
      <c r="I47" s="56"/>
    </row>
    <row r="48" spans="1:9" s="5" customFormat="1" ht="100.5" customHeight="1" x14ac:dyDescent="0.2">
      <c r="A48" s="43" t="s">
        <v>198</v>
      </c>
      <c r="B48" s="46" t="s">
        <v>496</v>
      </c>
      <c r="C48" s="32">
        <v>-2529.5</v>
      </c>
      <c r="D48" s="32">
        <f>-123.6-204.4-977.5-1746.5</f>
        <v>-3052</v>
      </c>
      <c r="E48" s="32">
        <v>-3250</v>
      </c>
      <c r="F48" s="32">
        <f t="shared" si="0"/>
        <v>-3052</v>
      </c>
      <c r="G48" s="32">
        <f t="shared" si="1"/>
        <v>198</v>
      </c>
      <c r="H48" s="32">
        <f t="shared" si="2"/>
        <v>93.907692307692301</v>
      </c>
      <c r="I48" s="58" t="s">
        <v>588</v>
      </c>
    </row>
    <row r="49" spans="1:9" s="5" customFormat="1" ht="12.95" customHeight="1" x14ac:dyDescent="0.2">
      <c r="A49" s="45" t="s">
        <v>222</v>
      </c>
      <c r="B49" s="53">
        <v>1060</v>
      </c>
      <c r="C49" s="35">
        <f>SUM(C50:C56)</f>
        <v>-11726</v>
      </c>
      <c r="D49" s="35">
        <f>SUM(D50:D56)</f>
        <v>-10963.999999999998</v>
      </c>
      <c r="E49" s="35">
        <f>SUM(E50:E56)</f>
        <v>-8660</v>
      </c>
      <c r="F49" s="35">
        <f t="shared" si="0"/>
        <v>-10963.999999999998</v>
      </c>
      <c r="G49" s="35">
        <f t="shared" si="1"/>
        <v>-2303.9999999999982</v>
      </c>
      <c r="H49" s="35">
        <f t="shared" si="2"/>
        <v>126.60508083140876</v>
      </c>
      <c r="I49" s="54"/>
    </row>
    <row r="50" spans="1:9" s="5" customFormat="1" ht="12.95" customHeight="1" x14ac:dyDescent="0.2">
      <c r="A50" s="41" t="s">
        <v>223</v>
      </c>
      <c r="B50" s="55">
        <v>1061</v>
      </c>
      <c r="C50" s="32" t="s">
        <v>53</v>
      </c>
      <c r="D50" s="32" t="s">
        <v>53</v>
      </c>
      <c r="E50" s="32" t="s">
        <v>53</v>
      </c>
      <c r="F50" s="32" t="str">
        <f t="shared" si="0"/>
        <v>0,0</v>
      </c>
      <c r="G50" s="32">
        <f t="shared" si="1"/>
        <v>0</v>
      </c>
      <c r="H50" s="32">
        <v>0</v>
      </c>
      <c r="I50" s="56"/>
    </row>
    <row r="51" spans="1:9" s="5" customFormat="1" ht="12.95" customHeight="1" x14ac:dyDescent="0.2">
      <c r="A51" s="41" t="s">
        <v>224</v>
      </c>
      <c r="B51" s="55">
        <v>1062</v>
      </c>
      <c r="C51" s="32" t="s">
        <v>53</v>
      </c>
      <c r="D51" s="32" t="s">
        <v>53</v>
      </c>
      <c r="E51" s="32" t="s">
        <v>53</v>
      </c>
      <c r="F51" s="32" t="str">
        <f t="shared" si="0"/>
        <v>0,0</v>
      </c>
      <c r="G51" s="32">
        <f t="shared" si="1"/>
        <v>0</v>
      </c>
      <c r="H51" s="32">
        <v>0</v>
      </c>
      <c r="I51" s="56"/>
    </row>
    <row r="52" spans="1:9" s="5" customFormat="1" ht="12.95" customHeight="1" x14ac:dyDescent="0.2">
      <c r="A52" s="41" t="s">
        <v>202</v>
      </c>
      <c r="B52" s="55">
        <v>1063</v>
      </c>
      <c r="C52" s="32">
        <v>-318.2</v>
      </c>
      <c r="D52" s="32">
        <v>-268.39999999999998</v>
      </c>
      <c r="E52" s="32">
        <v>-270</v>
      </c>
      <c r="F52" s="32">
        <f t="shared" si="0"/>
        <v>-268.39999999999998</v>
      </c>
      <c r="G52" s="32">
        <f t="shared" si="1"/>
        <v>1.6000000000000227</v>
      </c>
      <c r="H52" s="32">
        <f t="shared" si="2"/>
        <v>99.407407407407405</v>
      </c>
      <c r="I52" s="56"/>
    </row>
    <row r="53" spans="1:9" s="5" customFormat="1" ht="12.95" customHeight="1" x14ac:dyDescent="0.2">
      <c r="A53" s="41" t="s">
        <v>203</v>
      </c>
      <c r="B53" s="55">
        <v>1064</v>
      </c>
      <c r="C53" s="32">
        <v>-68.7</v>
      </c>
      <c r="D53" s="32">
        <v>-58.5</v>
      </c>
      <c r="E53" s="32">
        <v>-60</v>
      </c>
      <c r="F53" s="32">
        <f t="shared" si="0"/>
        <v>-58.5</v>
      </c>
      <c r="G53" s="32">
        <f t="shared" si="1"/>
        <v>1.5</v>
      </c>
      <c r="H53" s="32">
        <f t="shared" si="2"/>
        <v>97.5</v>
      </c>
      <c r="I53" s="56"/>
    </row>
    <row r="54" spans="1:9" s="5" customFormat="1" ht="12.95" customHeight="1" x14ac:dyDescent="0.2">
      <c r="A54" s="41" t="s">
        <v>225</v>
      </c>
      <c r="B54" s="55">
        <v>1065</v>
      </c>
      <c r="C54" s="32">
        <v>-10.1</v>
      </c>
      <c r="D54" s="32">
        <v>-13.5</v>
      </c>
      <c r="E54" s="32">
        <v>-10</v>
      </c>
      <c r="F54" s="32">
        <f t="shared" si="0"/>
        <v>-13.5</v>
      </c>
      <c r="G54" s="32">
        <f t="shared" si="1"/>
        <v>-3.5</v>
      </c>
      <c r="H54" s="32" t="s">
        <v>457</v>
      </c>
      <c r="I54" s="56"/>
    </row>
    <row r="55" spans="1:9" s="5" customFormat="1" ht="12.95" customHeight="1" x14ac:dyDescent="0.2">
      <c r="A55" s="41" t="s">
        <v>226</v>
      </c>
      <c r="B55" s="55">
        <v>1066</v>
      </c>
      <c r="C55" s="32">
        <v>-15.1</v>
      </c>
      <c r="D55" s="32">
        <v>-5.9</v>
      </c>
      <c r="E55" s="32">
        <v>-110</v>
      </c>
      <c r="F55" s="32">
        <f t="shared" si="0"/>
        <v>-5.9</v>
      </c>
      <c r="G55" s="32">
        <f t="shared" si="1"/>
        <v>104.1</v>
      </c>
      <c r="H55" s="32">
        <f t="shared" si="2"/>
        <v>5.3636363636363642</v>
      </c>
      <c r="I55" s="56"/>
    </row>
    <row r="56" spans="1:9" s="5" customFormat="1" ht="12.95" customHeight="1" x14ac:dyDescent="0.2">
      <c r="A56" s="41" t="s">
        <v>227</v>
      </c>
      <c r="B56" s="55">
        <v>1067</v>
      </c>
      <c r="C56" s="32">
        <f>C57</f>
        <v>-11313.9</v>
      </c>
      <c r="D56" s="32">
        <f>SUM(D57)</f>
        <v>-10617.699999999999</v>
      </c>
      <c r="E56" s="32">
        <f>SUM(E57)</f>
        <v>-8210</v>
      </c>
      <c r="F56" s="32">
        <f t="shared" si="0"/>
        <v>-10617.699999999999</v>
      </c>
      <c r="G56" s="32">
        <f t="shared" si="1"/>
        <v>-2407.6999999999989</v>
      </c>
      <c r="H56" s="32">
        <f t="shared" si="2"/>
        <v>129.32643118148599</v>
      </c>
      <c r="I56" s="56"/>
    </row>
    <row r="57" spans="1:9" s="5" customFormat="1" ht="24.75" customHeight="1" x14ac:dyDescent="0.2">
      <c r="A57" s="43" t="s">
        <v>198</v>
      </c>
      <c r="B57" s="46" t="s">
        <v>509</v>
      </c>
      <c r="C57" s="32">
        <v>-11313.9</v>
      </c>
      <c r="D57" s="32">
        <f>-10123.9-493.5-0.3</f>
        <v>-10617.699999999999</v>
      </c>
      <c r="E57" s="32">
        <v>-8210</v>
      </c>
      <c r="F57" s="32">
        <f t="shared" si="0"/>
        <v>-10617.699999999999</v>
      </c>
      <c r="G57" s="32">
        <f t="shared" si="1"/>
        <v>-2407.6999999999989</v>
      </c>
      <c r="H57" s="32">
        <f t="shared" si="2"/>
        <v>129.32643118148599</v>
      </c>
      <c r="I57" s="58" t="s">
        <v>589</v>
      </c>
    </row>
    <row r="58" spans="1:9" s="5" customFormat="1" ht="12.95" customHeight="1" x14ac:dyDescent="0.2">
      <c r="A58" s="45" t="s">
        <v>228</v>
      </c>
      <c r="B58" s="53">
        <v>1070</v>
      </c>
      <c r="C58" s="35">
        <f>SUM(C59:C60,C61)</f>
        <v>54910</v>
      </c>
      <c r="D58" s="35">
        <f>SUM(D59:D60,D61)</f>
        <v>49382</v>
      </c>
      <c r="E58" s="35">
        <f>SUM(E59:E60,E61)</f>
        <v>9515</v>
      </c>
      <c r="F58" s="35">
        <f t="shared" si="0"/>
        <v>49382</v>
      </c>
      <c r="G58" s="35">
        <f t="shared" si="1"/>
        <v>39867</v>
      </c>
      <c r="H58" s="35">
        <f t="shared" si="2"/>
        <v>518.99106673673145</v>
      </c>
      <c r="I58" s="54"/>
    </row>
    <row r="59" spans="1:9" s="5" customFormat="1" ht="12.95" customHeight="1" x14ac:dyDescent="0.2">
      <c r="A59" s="41" t="s">
        <v>64</v>
      </c>
      <c r="B59" s="55">
        <v>1071</v>
      </c>
      <c r="C59" s="32">
        <v>28085.8</v>
      </c>
      <c r="D59" s="32">
        <v>26981.599999999999</v>
      </c>
      <c r="E59" s="32" t="s">
        <v>53</v>
      </c>
      <c r="F59" s="32">
        <f t="shared" si="0"/>
        <v>26981.599999999999</v>
      </c>
      <c r="G59" s="32">
        <f t="shared" si="1"/>
        <v>26981.599999999999</v>
      </c>
      <c r="H59" s="32">
        <v>0</v>
      </c>
      <c r="I59" s="56"/>
    </row>
    <row r="60" spans="1:9" s="5" customFormat="1" ht="12.95" customHeight="1" x14ac:dyDescent="0.2">
      <c r="A60" s="41" t="s">
        <v>229</v>
      </c>
      <c r="B60" s="55">
        <v>1072</v>
      </c>
      <c r="C60" s="32" t="s">
        <v>53</v>
      </c>
      <c r="D60" s="32" t="s">
        <v>53</v>
      </c>
      <c r="E60" s="32" t="s">
        <v>53</v>
      </c>
      <c r="F60" s="32" t="str">
        <f t="shared" si="0"/>
        <v>0,0</v>
      </c>
      <c r="G60" s="32">
        <f t="shared" si="1"/>
        <v>0</v>
      </c>
      <c r="H60" s="32">
        <v>0</v>
      </c>
      <c r="I60" s="56"/>
    </row>
    <row r="61" spans="1:9" s="5" customFormat="1" ht="12.95" customHeight="1" x14ac:dyDescent="0.2">
      <c r="A61" s="41" t="s">
        <v>230</v>
      </c>
      <c r="B61" s="55">
        <v>1073</v>
      </c>
      <c r="C61" s="32">
        <f>SUM(C62:C66)</f>
        <v>26824.2</v>
      </c>
      <c r="D61" s="32">
        <f>SUM(D62:D66)</f>
        <v>22400.400000000001</v>
      </c>
      <c r="E61" s="32">
        <v>9515</v>
      </c>
      <c r="F61" s="32">
        <f t="shared" si="0"/>
        <v>22400.400000000001</v>
      </c>
      <c r="G61" s="32">
        <f t="shared" si="1"/>
        <v>12885.400000000001</v>
      </c>
      <c r="H61" s="32">
        <f t="shared" si="2"/>
        <v>235.42196531791907</v>
      </c>
      <c r="I61" s="56"/>
    </row>
    <row r="62" spans="1:9" s="5" customFormat="1" ht="35.25" customHeight="1" x14ac:dyDescent="0.2">
      <c r="A62" s="43" t="s">
        <v>231</v>
      </c>
      <c r="B62" s="46" t="s">
        <v>497</v>
      </c>
      <c r="C62" s="32">
        <v>15636.1</v>
      </c>
      <c r="D62" s="32">
        <v>13430.5</v>
      </c>
      <c r="E62" s="32">
        <v>5820</v>
      </c>
      <c r="F62" s="32">
        <f t="shared" si="0"/>
        <v>13430.5</v>
      </c>
      <c r="G62" s="32">
        <f t="shared" si="1"/>
        <v>7610.5</v>
      </c>
      <c r="H62" s="32">
        <f t="shared" si="2"/>
        <v>230.76460481099653</v>
      </c>
      <c r="I62" s="58" t="s">
        <v>590</v>
      </c>
    </row>
    <row r="63" spans="1:9" s="5" customFormat="1" ht="36.75" customHeight="1" x14ac:dyDescent="0.2">
      <c r="A63" s="43" t="s">
        <v>232</v>
      </c>
      <c r="B63" s="46" t="s">
        <v>498</v>
      </c>
      <c r="C63" s="32">
        <v>2493.9</v>
      </c>
      <c r="D63" s="32">
        <v>2553</v>
      </c>
      <c r="E63" s="32">
        <v>1985</v>
      </c>
      <c r="F63" s="32">
        <f t="shared" si="0"/>
        <v>2553</v>
      </c>
      <c r="G63" s="32">
        <f t="shared" si="1"/>
        <v>568</v>
      </c>
      <c r="H63" s="32">
        <f t="shared" si="2"/>
        <v>128.61460957178841</v>
      </c>
      <c r="I63" s="58" t="s">
        <v>591</v>
      </c>
    </row>
    <row r="64" spans="1:9" s="5" customFormat="1" ht="26.1" customHeight="1" x14ac:dyDescent="0.2">
      <c r="A64" s="43" t="s">
        <v>233</v>
      </c>
      <c r="B64" s="46" t="s">
        <v>499</v>
      </c>
      <c r="C64" s="32">
        <v>99.3</v>
      </c>
      <c r="D64" s="32">
        <v>590.79999999999995</v>
      </c>
      <c r="E64" s="32" t="s">
        <v>53</v>
      </c>
      <c r="F64" s="32">
        <f t="shared" si="0"/>
        <v>590.79999999999995</v>
      </c>
      <c r="G64" s="32">
        <f t="shared" si="1"/>
        <v>590.79999999999995</v>
      </c>
      <c r="H64" s="32">
        <v>0</v>
      </c>
      <c r="I64" s="56"/>
    </row>
    <row r="65" spans="1:9" s="5" customFormat="1" ht="26.25" customHeight="1" x14ac:dyDescent="0.2">
      <c r="A65" s="40" t="s">
        <v>542</v>
      </c>
      <c r="B65" s="46" t="s">
        <v>500</v>
      </c>
      <c r="C65" s="32">
        <v>1249.7</v>
      </c>
      <c r="D65" s="32">
        <v>698.5</v>
      </c>
      <c r="E65" s="32" t="s">
        <v>53</v>
      </c>
      <c r="F65" s="32">
        <f t="shared" si="0"/>
        <v>698.5</v>
      </c>
      <c r="G65" s="32">
        <f t="shared" si="1"/>
        <v>698.5</v>
      </c>
      <c r="H65" s="32">
        <v>0</v>
      </c>
      <c r="I65" s="56"/>
    </row>
    <row r="66" spans="1:9" s="5" customFormat="1" ht="33.75" customHeight="1" x14ac:dyDescent="0.2">
      <c r="A66" s="43" t="s">
        <v>234</v>
      </c>
      <c r="B66" s="46" t="s">
        <v>501</v>
      </c>
      <c r="C66" s="32">
        <v>7345.2</v>
      </c>
      <c r="D66" s="32">
        <v>5127.6000000000004</v>
      </c>
      <c r="E66" s="32">
        <v>1710</v>
      </c>
      <c r="F66" s="32">
        <f t="shared" si="0"/>
        <v>5127.6000000000004</v>
      </c>
      <c r="G66" s="32">
        <f t="shared" si="1"/>
        <v>3417.6000000000004</v>
      </c>
      <c r="H66" s="32">
        <f t="shared" si="2"/>
        <v>299.85964912280701</v>
      </c>
      <c r="I66" s="58" t="s">
        <v>592</v>
      </c>
    </row>
    <row r="67" spans="1:9" s="5" customFormat="1" ht="12.95" customHeight="1" x14ac:dyDescent="0.2">
      <c r="A67" s="45" t="s">
        <v>235</v>
      </c>
      <c r="B67" s="53">
        <v>1080</v>
      </c>
      <c r="C67" s="35">
        <f>SUM(C68:C69,C70:C73)</f>
        <v>-54795</v>
      </c>
      <c r="D67" s="35">
        <f>SUM(D68:D69,D70:D73)</f>
        <v>-46388</v>
      </c>
      <c r="E67" s="35">
        <f>SUM(E68:E69,E70:E73)</f>
        <v>-4470</v>
      </c>
      <c r="F67" s="35">
        <f t="shared" si="0"/>
        <v>-46388</v>
      </c>
      <c r="G67" s="35">
        <f t="shared" si="1"/>
        <v>-41918</v>
      </c>
      <c r="H67" s="35">
        <f t="shared" si="2"/>
        <v>1037.7628635346757</v>
      </c>
      <c r="I67" s="54"/>
    </row>
    <row r="68" spans="1:9" s="5" customFormat="1" ht="12.95" customHeight="1" x14ac:dyDescent="0.2">
      <c r="A68" s="41" t="s">
        <v>64</v>
      </c>
      <c r="B68" s="55">
        <v>1081</v>
      </c>
      <c r="C68" s="32">
        <v>-28956.5</v>
      </c>
      <c r="D68" s="32">
        <v>-28277</v>
      </c>
      <c r="E68" s="32" t="s">
        <v>53</v>
      </c>
      <c r="F68" s="32">
        <f t="shared" si="0"/>
        <v>-28277</v>
      </c>
      <c r="G68" s="32">
        <f t="shared" ref="G68:G106" si="3">F68-E68</f>
        <v>-28277</v>
      </c>
      <c r="H68" s="32">
        <v>0</v>
      </c>
      <c r="I68" s="56"/>
    </row>
    <row r="69" spans="1:9" s="5" customFormat="1" ht="12.95" customHeight="1" x14ac:dyDescent="0.2">
      <c r="A69" s="41" t="s">
        <v>236</v>
      </c>
      <c r="B69" s="55">
        <v>1082</v>
      </c>
      <c r="C69" s="32" t="s">
        <v>53</v>
      </c>
      <c r="D69" s="32" t="s">
        <v>53</v>
      </c>
      <c r="E69" s="32" t="s">
        <v>53</v>
      </c>
      <c r="F69" s="32" t="str">
        <f t="shared" si="0"/>
        <v>0,0</v>
      </c>
      <c r="G69" s="32">
        <f t="shared" si="3"/>
        <v>0</v>
      </c>
      <c r="H69" s="32">
        <v>0</v>
      </c>
      <c r="I69" s="56"/>
    </row>
    <row r="70" spans="1:9" s="5" customFormat="1" ht="12.95" customHeight="1" x14ac:dyDescent="0.2">
      <c r="A70" s="41" t="s">
        <v>237</v>
      </c>
      <c r="B70" s="55">
        <v>1083</v>
      </c>
      <c r="C70" s="32" t="s">
        <v>53</v>
      </c>
      <c r="D70" s="32" t="s">
        <v>53</v>
      </c>
      <c r="E70" s="32" t="s">
        <v>53</v>
      </c>
      <c r="F70" s="32" t="str">
        <f t="shared" si="0"/>
        <v>0,0</v>
      </c>
      <c r="G70" s="32">
        <f t="shared" si="3"/>
        <v>0</v>
      </c>
      <c r="H70" s="32">
        <v>0</v>
      </c>
      <c r="I70" s="56"/>
    </row>
    <row r="71" spans="1:9" s="5" customFormat="1" ht="12.95" customHeight="1" x14ac:dyDescent="0.2">
      <c r="A71" s="41" t="s">
        <v>238</v>
      </c>
      <c r="B71" s="55">
        <v>1084</v>
      </c>
      <c r="C71" s="32" t="s">
        <v>53</v>
      </c>
      <c r="D71" s="32" t="s">
        <v>53</v>
      </c>
      <c r="E71" s="32" t="s">
        <v>53</v>
      </c>
      <c r="F71" s="32" t="str">
        <f t="shared" si="0"/>
        <v>0,0</v>
      </c>
      <c r="G71" s="32">
        <f t="shared" si="3"/>
        <v>0</v>
      </c>
      <c r="H71" s="32">
        <v>0</v>
      </c>
      <c r="I71" s="56"/>
    </row>
    <row r="72" spans="1:9" s="5" customFormat="1" ht="12.95" customHeight="1" x14ac:dyDescent="0.2">
      <c r="A72" s="41" t="s">
        <v>239</v>
      </c>
      <c r="B72" s="55">
        <v>1085</v>
      </c>
      <c r="C72" s="32" t="s">
        <v>53</v>
      </c>
      <c r="D72" s="32" t="s">
        <v>53</v>
      </c>
      <c r="E72" s="32" t="s">
        <v>53</v>
      </c>
      <c r="F72" s="32" t="str">
        <f t="shared" ref="F72:F114" si="4">D72</f>
        <v>0,0</v>
      </c>
      <c r="G72" s="32">
        <f t="shared" si="3"/>
        <v>0</v>
      </c>
      <c r="H72" s="32">
        <v>0</v>
      </c>
      <c r="I72" s="56"/>
    </row>
    <row r="73" spans="1:9" s="5" customFormat="1" ht="12.95" customHeight="1" x14ac:dyDescent="0.2">
      <c r="A73" s="41" t="s">
        <v>240</v>
      </c>
      <c r="B73" s="55">
        <v>1086</v>
      </c>
      <c r="C73" s="32">
        <f>SUM(C74:C78)</f>
        <v>-25838.5</v>
      </c>
      <c r="D73" s="32">
        <f>SUM(D74:D78)</f>
        <v>-18111</v>
      </c>
      <c r="E73" s="32">
        <f>SUM(E74:E78)</f>
        <v>-4470</v>
      </c>
      <c r="F73" s="32">
        <f t="shared" si="4"/>
        <v>-18111</v>
      </c>
      <c r="G73" s="32">
        <f t="shared" si="3"/>
        <v>-13641</v>
      </c>
      <c r="H73" s="32">
        <f>F73/E73*100</f>
        <v>405.16778523489927</v>
      </c>
      <c r="I73" s="56"/>
    </row>
    <row r="74" spans="1:9" s="5" customFormat="1" ht="25.5" customHeight="1" x14ac:dyDescent="0.2">
      <c r="A74" s="43" t="s">
        <v>241</v>
      </c>
      <c r="B74" s="46" t="s">
        <v>502</v>
      </c>
      <c r="C74" s="32">
        <v>-15489.1</v>
      </c>
      <c r="D74" s="32">
        <v>-5102.2</v>
      </c>
      <c r="E74" s="32">
        <v>-320</v>
      </c>
      <c r="F74" s="32">
        <f t="shared" si="4"/>
        <v>-5102.2</v>
      </c>
      <c r="G74" s="32">
        <f t="shared" si="3"/>
        <v>-4782.2</v>
      </c>
      <c r="H74" s="32">
        <v>0</v>
      </c>
      <c r="I74" s="58" t="s">
        <v>593</v>
      </c>
    </row>
    <row r="75" spans="1:9" s="5" customFormat="1" ht="44.25" customHeight="1" x14ac:dyDescent="0.2">
      <c r="A75" s="43" t="s">
        <v>242</v>
      </c>
      <c r="B75" s="46" t="s">
        <v>503</v>
      </c>
      <c r="C75" s="32">
        <v>-1310</v>
      </c>
      <c r="D75" s="32">
        <v>-1498.8</v>
      </c>
      <c r="E75" s="32">
        <v>-1360</v>
      </c>
      <c r="F75" s="32">
        <f t="shared" si="4"/>
        <v>-1498.8</v>
      </c>
      <c r="G75" s="32">
        <f t="shared" si="3"/>
        <v>-138.79999999999995</v>
      </c>
      <c r="H75" s="32">
        <f>F75/E75*100</f>
        <v>110.20588235294117</v>
      </c>
      <c r="I75" s="58" t="s">
        <v>594</v>
      </c>
    </row>
    <row r="76" spans="1:9" s="5" customFormat="1" ht="12.95" customHeight="1" x14ac:dyDescent="0.2">
      <c r="A76" s="43" t="s">
        <v>243</v>
      </c>
      <c r="B76" s="46" t="s">
        <v>504</v>
      </c>
      <c r="C76" s="32">
        <v>-1313.8</v>
      </c>
      <c r="D76" s="32">
        <f>-2000.1+464.3</f>
        <v>-1535.8</v>
      </c>
      <c r="E76" s="32">
        <v>-1200</v>
      </c>
      <c r="F76" s="32">
        <f t="shared" si="4"/>
        <v>-1535.8</v>
      </c>
      <c r="G76" s="32">
        <f t="shared" si="3"/>
        <v>-335.79999999999995</v>
      </c>
      <c r="H76" s="32">
        <f>F76/E76*100</f>
        <v>127.98333333333333</v>
      </c>
      <c r="I76" s="56"/>
    </row>
    <row r="77" spans="1:9" s="5" customFormat="1" ht="36.75" customHeight="1" x14ac:dyDescent="0.2">
      <c r="A77" s="43" t="s">
        <v>244</v>
      </c>
      <c r="B77" s="46" t="s">
        <v>505</v>
      </c>
      <c r="C77" s="32">
        <v>-584.9</v>
      </c>
      <c r="D77" s="32">
        <v>-1884.3</v>
      </c>
      <c r="E77" s="32">
        <v>0</v>
      </c>
      <c r="F77" s="32">
        <f t="shared" si="4"/>
        <v>-1884.3</v>
      </c>
      <c r="G77" s="32">
        <f t="shared" si="3"/>
        <v>-1884.3</v>
      </c>
      <c r="H77" s="32" t="s">
        <v>457</v>
      </c>
      <c r="I77" s="58" t="s">
        <v>595</v>
      </c>
    </row>
    <row r="78" spans="1:9" s="5" customFormat="1" ht="55.5" customHeight="1" x14ac:dyDescent="0.2">
      <c r="A78" s="43" t="s">
        <v>245</v>
      </c>
      <c r="B78" s="46" t="s">
        <v>506</v>
      </c>
      <c r="C78" s="32">
        <v>-7140.7</v>
      </c>
      <c r="D78" s="32">
        <f>-7679.6+54-464.3</f>
        <v>-8089.9000000000005</v>
      </c>
      <c r="E78" s="32">
        <v>-1590</v>
      </c>
      <c r="F78" s="32">
        <f t="shared" si="4"/>
        <v>-8089.9000000000005</v>
      </c>
      <c r="G78" s="32">
        <f t="shared" si="3"/>
        <v>-6499.9000000000005</v>
      </c>
      <c r="H78" s="32">
        <f>F78/E78*100</f>
        <v>508.79874213836479</v>
      </c>
      <c r="I78" s="58" t="s">
        <v>596</v>
      </c>
    </row>
    <row r="79" spans="1:9" s="5" customFormat="1" ht="12.95" customHeight="1" x14ac:dyDescent="0.2">
      <c r="A79" s="45" t="s">
        <v>68</v>
      </c>
      <c r="B79" s="53">
        <v>1100</v>
      </c>
      <c r="C79" s="35">
        <f>SUM(C20,C21,C49,C58,C67)</f>
        <v>9371</v>
      </c>
      <c r="D79" s="35">
        <f>SUM(D20,D21,D49,D58,D67)</f>
        <v>-31653.000000000007</v>
      </c>
      <c r="E79" s="35">
        <f>SUM(E20,E21,E49,E58,E67)</f>
        <v>22200</v>
      </c>
      <c r="F79" s="35">
        <f t="shared" si="4"/>
        <v>-31653.000000000007</v>
      </c>
      <c r="G79" s="35">
        <f t="shared" si="3"/>
        <v>-53853.000000000007</v>
      </c>
      <c r="H79" s="35">
        <f>F79/E79*100</f>
        <v>-142.58108108108112</v>
      </c>
      <c r="I79" s="54"/>
    </row>
    <row r="80" spans="1:9" s="5" customFormat="1" ht="12.95" customHeight="1" x14ac:dyDescent="0.2">
      <c r="A80" s="41" t="s">
        <v>246</v>
      </c>
      <c r="B80" s="55">
        <v>1110</v>
      </c>
      <c r="C80" s="32" t="s">
        <v>53</v>
      </c>
      <c r="D80" s="32" t="s">
        <v>53</v>
      </c>
      <c r="E80" s="32" t="s">
        <v>53</v>
      </c>
      <c r="F80" s="32" t="str">
        <f t="shared" si="4"/>
        <v>0,0</v>
      </c>
      <c r="G80" s="32">
        <f t="shared" si="3"/>
        <v>0</v>
      </c>
      <c r="H80" s="32">
        <v>0</v>
      </c>
      <c r="I80" s="56"/>
    </row>
    <row r="81" spans="1:9" s="5" customFormat="1" ht="12.95" customHeight="1" x14ac:dyDescent="0.2">
      <c r="A81" s="41" t="s">
        <v>247</v>
      </c>
      <c r="B81" s="55">
        <v>1120</v>
      </c>
      <c r="C81" s="32" t="s">
        <v>53</v>
      </c>
      <c r="D81" s="32" t="s">
        <v>53</v>
      </c>
      <c r="E81" s="32" t="s">
        <v>53</v>
      </c>
      <c r="F81" s="32" t="str">
        <f t="shared" si="4"/>
        <v>0,0</v>
      </c>
      <c r="G81" s="32">
        <f t="shared" si="3"/>
        <v>0</v>
      </c>
      <c r="H81" s="32">
        <v>0</v>
      </c>
      <c r="I81" s="56"/>
    </row>
    <row r="82" spans="1:9" s="5" customFormat="1" ht="12.95" customHeight="1" x14ac:dyDescent="0.2">
      <c r="A82" s="45" t="s">
        <v>248</v>
      </c>
      <c r="B82" s="53">
        <v>1130</v>
      </c>
      <c r="C82" s="35">
        <f>SUM(C83:C84)</f>
        <v>7571</v>
      </c>
      <c r="D82" s="35">
        <f>SUM(D83:D84)</f>
        <v>13949</v>
      </c>
      <c r="E82" s="35">
        <f>SUM(E83:E84)</f>
        <v>9520</v>
      </c>
      <c r="F82" s="35">
        <f t="shared" si="4"/>
        <v>13949</v>
      </c>
      <c r="G82" s="35">
        <f t="shared" si="3"/>
        <v>4429</v>
      </c>
      <c r="H82" s="35" t="s">
        <v>457</v>
      </c>
      <c r="I82" s="54"/>
    </row>
    <row r="83" spans="1:9" s="5" customFormat="1" ht="13.5" customHeight="1" x14ac:dyDescent="0.2">
      <c r="A83" s="40" t="s">
        <v>507</v>
      </c>
      <c r="B83" s="46">
        <v>1131</v>
      </c>
      <c r="C83" s="32">
        <v>117.4</v>
      </c>
      <c r="D83" s="32">
        <v>30.3</v>
      </c>
      <c r="E83" s="32">
        <v>0</v>
      </c>
      <c r="F83" s="32">
        <f t="shared" si="4"/>
        <v>30.3</v>
      </c>
      <c r="G83" s="32">
        <f t="shared" si="3"/>
        <v>30.3</v>
      </c>
      <c r="H83" s="32" t="s">
        <v>457</v>
      </c>
      <c r="I83" s="58"/>
    </row>
    <row r="84" spans="1:9" s="5" customFormat="1" ht="35.25" customHeight="1" x14ac:dyDescent="0.2">
      <c r="A84" s="43" t="s">
        <v>249</v>
      </c>
      <c r="B84" s="46">
        <v>1132</v>
      </c>
      <c r="C84" s="32">
        <v>7453.6</v>
      </c>
      <c r="D84" s="32">
        <v>13918.7</v>
      </c>
      <c r="E84" s="32">
        <v>9520</v>
      </c>
      <c r="F84" s="32">
        <f t="shared" si="4"/>
        <v>13918.7</v>
      </c>
      <c r="G84" s="32">
        <f t="shared" si="3"/>
        <v>4398.7000000000007</v>
      </c>
      <c r="H84" s="32">
        <v>0</v>
      </c>
      <c r="I84" s="58" t="s">
        <v>577</v>
      </c>
    </row>
    <row r="85" spans="1:9" s="5" customFormat="1" ht="12.95" customHeight="1" x14ac:dyDescent="0.2">
      <c r="A85" s="45" t="s">
        <v>250</v>
      </c>
      <c r="B85" s="53">
        <v>1140</v>
      </c>
      <c r="C85" s="35">
        <f>SUM(C86:C86)</f>
        <v>0</v>
      </c>
      <c r="D85" s="35">
        <f>SUM(D86:D86)</f>
        <v>-1286</v>
      </c>
      <c r="E85" s="35">
        <f>SUM(E86:E86)</f>
        <v>-2910</v>
      </c>
      <c r="F85" s="35">
        <f t="shared" si="4"/>
        <v>-1286</v>
      </c>
      <c r="G85" s="35">
        <f t="shared" si="3"/>
        <v>1624</v>
      </c>
      <c r="H85" s="35">
        <v>0</v>
      </c>
      <c r="I85" s="54"/>
    </row>
    <row r="86" spans="1:9" s="5" customFormat="1" ht="15.75" customHeight="1" x14ac:dyDescent="0.2">
      <c r="A86" s="43" t="s">
        <v>251</v>
      </c>
      <c r="B86" s="46">
        <v>1141</v>
      </c>
      <c r="C86" s="32" t="s">
        <v>53</v>
      </c>
      <c r="D86" s="32">
        <v>-1286</v>
      </c>
      <c r="E86" s="32">
        <v>-2910</v>
      </c>
      <c r="F86" s="32">
        <f t="shared" si="4"/>
        <v>-1286</v>
      </c>
      <c r="G86" s="32">
        <f t="shared" si="3"/>
        <v>1624</v>
      </c>
      <c r="H86" s="32">
        <v>0</v>
      </c>
      <c r="I86" s="59" t="s">
        <v>553</v>
      </c>
    </row>
    <row r="87" spans="1:9" s="5" customFormat="1" ht="12.95" customHeight="1" x14ac:dyDescent="0.2">
      <c r="A87" s="45" t="s">
        <v>75</v>
      </c>
      <c r="B87" s="53">
        <v>1150</v>
      </c>
      <c r="C87" s="35">
        <f>SUM(C88:C89)</f>
        <v>11950</v>
      </c>
      <c r="D87" s="35">
        <f>SUM(D88:D89)</f>
        <v>28220</v>
      </c>
      <c r="E87" s="35">
        <f>SUM(E88:E89)</f>
        <v>120</v>
      </c>
      <c r="F87" s="35">
        <f t="shared" si="4"/>
        <v>28220</v>
      </c>
      <c r="G87" s="35">
        <f t="shared" si="3"/>
        <v>28100</v>
      </c>
      <c r="H87" s="35">
        <f>F87/E87*100</f>
        <v>23516.666666666664</v>
      </c>
      <c r="I87" s="54"/>
    </row>
    <row r="88" spans="1:9" s="5" customFormat="1" ht="12.95" customHeight="1" x14ac:dyDescent="0.2">
      <c r="A88" s="41" t="s">
        <v>64</v>
      </c>
      <c r="B88" s="55">
        <v>1151</v>
      </c>
      <c r="C88" s="32">
        <v>593.4</v>
      </c>
      <c r="D88" s="32">
        <v>11.4</v>
      </c>
      <c r="E88" s="32" t="s">
        <v>53</v>
      </c>
      <c r="F88" s="32">
        <f t="shared" si="4"/>
        <v>11.4</v>
      </c>
      <c r="G88" s="32">
        <f t="shared" si="3"/>
        <v>11.4</v>
      </c>
      <c r="H88" s="32">
        <v>0</v>
      </c>
      <c r="I88" s="56"/>
    </row>
    <row r="89" spans="1:9" s="5" customFormat="1" ht="12.95" customHeight="1" x14ac:dyDescent="0.2">
      <c r="A89" s="41" t="s">
        <v>252</v>
      </c>
      <c r="B89" s="55">
        <v>1152</v>
      </c>
      <c r="C89" s="32">
        <f>SUM(C90:C90)</f>
        <v>11356.6</v>
      </c>
      <c r="D89" s="32">
        <f>SUM(D90:D90)</f>
        <v>28208.6</v>
      </c>
      <c r="E89" s="32">
        <f>SUM(E90:E90)</f>
        <v>120</v>
      </c>
      <c r="F89" s="32">
        <f t="shared" si="4"/>
        <v>28208.6</v>
      </c>
      <c r="G89" s="32">
        <f t="shared" si="3"/>
        <v>28088.6</v>
      </c>
      <c r="H89" s="32">
        <f>F89/E89*100</f>
        <v>23507.166666666664</v>
      </c>
      <c r="I89" s="56"/>
    </row>
    <row r="90" spans="1:9" s="5" customFormat="1" ht="57.75" customHeight="1" x14ac:dyDescent="0.2">
      <c r="A90" s="43" t="s">
        <v>253</v>
      </c>
      <c r="B90" s="46" t="s">
        <v>508</v>
      </c>
      <c r="C90" s="32">
        <v>11356.6</v>
      </c>
      <c r="D90" s="32">
        <f>8918.6+19290</f>
        <v>28208.6</v>
      </c>
      <c r="E90" s="32">
        <v>120</v>
      </c>
      <c r="F90" s="32">
        <f t="shared" si="4"/>
        <v>28208.6</v>
      </c>
      <c r="G90" s="32">
        <f t="shared" si="3"/>
        <v>28088.6</v>
      </c>
      <c r="H90" s="32">
        <f>F90/E90*100</f>
        <v>23507.166666666664</v>
      </c>
      <c r="I90" s="58" t="s">
        <v>597</v>
      </c>
    </row>
    <row r="91" spans="1:9" s="5" customFormat="1" ht="12.95" customHeight="1" x14ac:dyDescent="0.2">
      <c r="A91" s="45" t="s">
        <v>76</v>
      </c>
      <c r="B91" s="53">
        <v>1160</v>
      </c>
      <c r="C91" s="35">
        <f>SUM(C92:C93)</f>
        <v>1173</v>
      </c>
      <c r="D91" s="35">
        <f>SUM(D92:D93)</f>
        <v>-5024.9999999999991</v>
      </c>
      <c r="E91" s="35">
        <f>SUM(E92:E93)</f>
        <v>-5240</v>
      </c>
      <c r="F91" s="35">
        <f t="shared" si="4"/>
        <v>-5024.9999999999991</v>
      </c>
      <c r="G91" s="35">
        <f t="shared" si="3"/>
        <v>215.00000000000091</v>
      </c>
      <c r="H91" s="35">
        <f>F91/E91*100</f>
        <v>95.896946564885482</v>
      </c>
      <c r="I91" s="54"/>
    </row>
    <row r="92" spans="1:9" s="5" customFormat="1" ht="12.95" customHeight="1" x14ac:dyDescent="0.2">
      <c r="A92" s="41" t="s">
        <v>64</v>
      </c>
      <c r="B92" s="55">
        <v>1161</v>
      </c>
      <c r="C92" s="32">
        <v>0</v>
      </c>
      <c r="D92" s="32">
        <v>-76.7</v>
      </c>
      <c r="E92" s="32" t="s">
        <v>53</v>
      </c>
      <c r="F92" s="32">
        <f t="shared" si="4"/>
        <v>-76.7</v>
      </c>
      <c r="G92" s="32">
        <f t="shared" si="3"/>
        <v>-76.7</v>
      </c>
      <c r="H92" s="32">
        <v>0</v>
      </c>
      <c r="I92" s="56"/>
    </row>
    <row r="93" spans="1:9" s="5" customFormat="1" ht="11.25" customHeight="1" x14ac:dyDescent="0.2">
      <c r="A93" s="41" t="s">
        <v>196</v>
      </c>
      <c r="B93" s="55">
        <v>1162</v>
      </c>
      <c r="C93" s="32">
        <f>SUM(C94:C95)</f>
        <v>1173</v>
      </c>
      <c r="D93" s="32">
        <f>SUM(D94:D95)</f>
        <v>-4948.2999999999993</v>
      </c>
      <c r="E93" s="32">
        <f>SUM(E94:E95)</f>
        <v>-5240</v>
      </c>
      <c r="F93" s="32">
        <f t="shared" si="4"/>
        <v>-4948.2999999999993</v>
      </c>
      <c r="G93" s="32">
        <f t="shared" si="3"/>
        <v>291.70000000000073</v>
      </c>
      <c r="H93" s="32">
        <f>F93/E93*100</f>
        <v>94.433206106870216</v>
      </c>
      <c r="I93" s="56"/>
    </row>
    <row r="94" spans="1:9" s="5" customFormat="1" ht="11.25" customHeight="1" x14ac:dyDescent="0.2">
      <c r="A94" s="43" t="s">
        <v>254</v>
      </c>
      <c r="B94" s="46" t="s">
        <v>510</v>
      </c>
      <c r="C94" s="32">
        <v>3872.3</v>
      </c>
      <c r="D94" s="32">
        <v>-3076.7</v>
      </c>
      <c r="E94" s="32">
        <v>0</v>
      </c>
      <c r="F94" s="32">
        <f t="shared" si="4"/>
        <v>-3076.7</v>
      </c>
      <c r="G94" s="32">
        <f t="shared" si="3"/>
        <v>-3076.7</v>
      </c>
      <c r="H94" s="32" t="s">
        <v>457</v>
      </c>
      <c r="I94" s="60" t="s">
        <v>570</v>
      </c>
    </row>
    <row r="95" spans="1:9" s="5" customFormat="1" ht="43.5" customHeight="1" x14ac:dyDescent="0.2">
      <c r="A95" s="43" t="s">
        <v>198</v>
      </c>
      <c r="B95" s="46" t="s">
        <v>511</v>
      </c>
      <c r="C95" s="32">
        <v>-2699.3</v>
      </c>
      <c r="D95" s="32">
        <v>-1871.6</v>
      </c>
      <c r="E95" s="32">
        <v>-5240</v>
      </c>
      <c r="F95" s="32">
        <f t="shared" si="4"/>
        <v>-1871.6</v>
      </c>
      <c r="G95" s="32">
        <f t="shared" si="3"/>
        <v>3368.4</v>
      </c>
      <c r="H95" s="32">
        <f>F95/E95*100</f>
        <v>35.717557251908396</v>
      </c>
      <c r="I95" s="58" t="s">
        <v>598</v>
      </c>
    </row>
    <row r="96" spans="1:9" s="5" customFormat="1" ht="12.95" customHeight="1" x14ac:dyDescent="0.2">
      <c r="A96" s="45" t="s">
        <v>77</v>
      </c>
      <c r="B96" s="53">
        <v>1170</v>
      </c>
      <c r="C96" s="35">
        <f>SUM(C79,C82,C85,C87,C91)</f>
        <v>30065</v>
      </c>
      <c r="D96" s="35">
        <f>SUM(D79,D82,D85,D87,D91)</f>
        <v>4204.9999999999936</v>
      </c>
      <c r="E96" s="35">
        <f>SUM(E79,E82,E85,E87,E91)</f>
        <v>23690</v>
      </c>
      <c r="F96" s="35">
        <f t="shared" si="4"/>
        <v>4204.9999999999936</v>
      </c>
      <c r="G96" s="35">
        <f t="shared" si="3"/>
        <v>-19485.000000000007</v>
      </c>
      <c r="H96" s="35">
        <f>F96/E96*100</f>
        <v>17.750105529759367</v>
      </c>
      <c r="I96" s="54"/>
    </row>
    <row r="97" spans="1:9" s="5" customFormat="1" ht="12.95" customHeight="1" x14ac:dyDescent="0.2">
      <c r="A97" s="45" t="s">
        <v>78</v>
      </c>
      <c r="B97" s="53">
        <v>1180</v>
      </c>
      <c r="C97" s="35">
        <v>0</v>
      </c>
      <c r="D97" s="35">
        <f>D98+D99+D100</f>
        <v>-2706</v>
      </c>
      <c r="E97" s="35">
        <v>0</v>
      </c>
      <c r="F97" s="35">
        <f t="shared" si="4"/>
        <v>-2706</v>
      </c>
      <c r="G97" s="35">
        <f t="shared" si="3"/>
        <v>-2706</v>
      </c>
      <c r="H97" s="35">
        <v>0</v>
      </c>
      <c r="I97" s="54"/>
    </row>
    <row r="98" spans="1:9" s="5" customFormat="1" ht="12.95" customHeight="1" x14ac:dyDescent="0.2">
      <c r="A98" s="41" t="s">
        <v>79</v>
      </c>
      <c r="B98" s="55">
        <v>1181</v>
      </c>
      <c r="C98" s="32">
        <v>0</v>
      </c>
      <c r="D98" s="32">
        <v>-2706</v>
      </c>
      <c r="E98" s="32">
        <v>0</v>
      </c>
      <c r="F98" s="32">
        <f t="shared" si="4"/>
        <v>-2706</v>
      </c>
      <c r="G98" s="32">
        <f t="shared" si="3"/>
        <v>-2706</v>
      </c>
      <c r="H98" s="32">
        <v>0</v>
      </c>
      <c r="I98" s="56"/>
    </row>
    <row r="99" spans="1:9" s="5" customFormat="1" ht="12.95" customHeight="1" x14ac:dyDescent="0.2">
      <c r="A99" s="41" t="s">
        <v>80</v>
      </c>
      <c r="B99" s="55">
        <v>1190</v>
      </c>
      <c r="C99" s="32">
        <v>0</v>
      </c>
      <c r="D99" s="32">
        <v>0</v>
      </c>
      <c r="E99" s="32">
        <v>0</v>
      </c>
      <c r="F99" s="32">
        <f t="shared" si="4"/>
        <v>0</v>
      </c>
      <c r="G99" s="32">
        <f t="shared" si="3"/>
        <v>0</v>
      </c>
      <c r="H99" s="32">
        <v>0</v>
      </c>
      <c r="I99" s="56"/>
    </row>
    <row r="100" spans="1:9" s="5" customFormat="1" ht="12.95" customHeight="1" x14ac:dyDescent="0.2">
      <c r="A100" s="41" t="s">
        <v>81</v>
      </c>
      <c r="B100" s="55">
        <v>1191</v>
      </c>
      <c r="C100" s="32">
        <v>0</v>
      </c>
      <c r="D100" s="32">
        <v>0</v>
      </c>
      <c r="E100" s="32">
        <v>0</v>
      </c>
      <c r="F100" s="32">
        <f t="shared" si="4"/>
        <v>0</v>
      </c>
      <c r="G100" s="32">
        <f t="shared" si="3"/>
        <v>0</v>
      </c>
      <c r="H100" s="32">
        <v>0</v>
      </c>
      <c r="I100" s="56"/>
    </row>
    <row r="101" spans="1:9" s="5" customFormat="1" ht="12.95" customHeight="1" x14ac:dyDescent="0.2">
      <c r="A101" s="45" t="s">
        <v>255</v>
      </c>
      <c r="B101" s="53">
        <v>1200</v>
      </c>
      <c r="C101" s="35">
        <f>SUM(C96:C100)</f>
        <v>30065</v>
      </c>
      <c r="D101" s="35">
        <f>SUM(D96:D97)</f>
        <v>1498.9999999999936</v>
      </c>
      <c r="E101" s="35">
        <f>SUM(E96:E100)</f>
        <v>23690</v>
      </c>
      <c r="F101" s="35">
        <f t="shared" si="4"/>
        <v>1498.9999999999936</v>
      </c>
      <c r="G101" s="35">
        <f t="shared" si="3"/>
        <v>-22191.000000000007</v>
      </c>
      <c r="H101" s="35">
        <f>F101/E101*100</f>
        <v>6.3275643731532023</v>
      </c>
      <c r="I101" s="54"/>
    </row>
    <row r="102" spans="1:9" s="5" customFormat="1" ht="12.95" customHeight="1" x14ac:dyDescent="0.2">
      <c r="A102" s="41" t="s">
        <v>256</v>
      </c>
      <c r="B102" s="55">
        <v>1201</v>
      </c>
      <c r="C102" s="35">
        <f>IF(C101&gt;0,C101,0)</f>
        <v>30065</v>
      </c>
      <c r="D102" s="35">
        <f>IF(D101&gt;0,D101,0)</f>
        <v>1498.9999999999936</v>
      </c>
      <c r="E102" s="35">
        <f>IF(E101&gt;0,E101,0)</f>
        <v>23690</v>
      </c>
      <c r="F102" s="35">
        <f t="shared" si="4"/>
        <v>1498.9999999999936</v>
      </c>
      <c r="G102" s="32">
        <f t="shared" si="3"/>
        <v>-22191.000000000007</v>
      </c>
      <c r="H102" s="32" t="s">
        <v>457</v>
      </c>
      <c r="I102" s="56"/>
    </row>
    <row r="103" spans="1:9" s="5" customFormat="1" ht="12.95" customHeight="1" x14ac:dyDescent="0.2">
      <c r="A103" s="41" t="s">
        <v>257</v>
      </c>
      <c r="B103" s="55">
        <v>1202</v>
      </c>
      <c r="C103" s="32">
        <f>IF(C101&lt;0,C101,0)</f>
        <v>0</v>
      </c>
      <c r="D103" s="32">
        <f>IF(D101&lt;0,D101,0)</f>
        <v>0</v>
      </c>
      <c r="E103" s="32">
        <f>IF(E101&lt;0,E101,0)</f>
        <v>0</v>
      </c>
      <c r="F103" s="32">
        <f t="shared" si="4"/>
        <v>0</v>
      </c>
      <c r="G103" s="32">
        <f t="shared" si="3"/>
        <v>0</v>
      </c>
      <c r="H103" s="32">
        <v>0</v>
      </c>
      <c r="I103" s="56"/>
    </row>
    <row r="104" spans="1:9" s="5" customFormat="1" ht="12.95" customHeight="1" x14ac:dyDescent="0.2">
      <c r="A104" s="45" t="s">
        <v>85</v>
      </c>
      <c r="B104" s="53">
        <v>1210</v>
      </c>
      <c r="C104" s="35">
        <f>SUM(C7,C58,C80,C82,C87)</f>
        <v>717395</v>
      </c>
      <c r="D104" s="35">
        <f>SUM(D7,D58,D80,D82,D87)</f>
        <v>872591</v>
      </c>
      <c r="E104" s="35">
        <f>SUM(E7,E58,E80,E82,E87)</f>
        <v>695725</v>
      </c>
      <c r="F104" s="35">
        <f t="shared" si="4"/>
        <v>872591</v>
      </c>
      <c r="G104" s="35">
        <f t="shared" si="3"/>
        <v>176866</v>
      </c>
      <c r="H104" s="35">
        <f>F104/E104*100</f>
        <v>125.42182615257464</v>
      </c>
      <c r="I104" s="54"/>
    </row>
    <row r="105" spans="1:9" s="5" customFormat="1" ht="12.95" customHeight="1" x14ac:dyDescent="0.2">
      <c r="A105" s="45" t="s">
        <v>86</v>
      </c>
      <c r="B105" s="53">
        <v>1220</v>
      </c>
      <c r="C105" s="35">
        <f>SUM(C8,C21,C49,C81,C67,C91,C85)</f>
        <v>-687330</v>
      </c>
      <c r="D105" s="35">
        <f>SUM(D8,D21,D49,D81,D67,D91,D85,D97)</f>
        <v>-871092</v>
      </c>
      <c r="E105" s="35">
        <f>SUM(E8,E21,E49,E81,E67,E91,E85)</f>
        <v>-672035</v>
      </c>
      <c r="F105" s="35">
        <f t="shared" si="4"/>
        <v>-871092</v>
      </c>
      <c r="G105" s="35">
        <f t="shared" si="3"/>
        <v>-199057</v>
      </c>
      <c r="H105" s="35">
        <f>F105/E105*100</f>
        <v>129.62003467081325</v>
      </c>
      <c r="I105" s="54"/>
    </row>
    <row r="106" spans="1:9" s="5" customFormat="1" ht="12.95" customHeight="1" x14ac:dyDescent="0.2">
      <c r="A106" s="41" t="s">
        <v>87</v>
      </c>
      <c r="B106" s="55">
        <v>1230</v>
      </c>
      <c r="C106" s="32" t="s">
        <v>53</v>
      </c>
      <c r="D106" s="32" t="s">
        <v>53</v>
      </c>
      <c r="E106" s="32" t="s">
        <v>53</v>
      </c>
      <c r="F106" s="32" t="str">
        <f t="shared" si="4"/>
        <v>0,0</v>
      </c>
      <c r="G106" s="32">
        <f t="shared" si="3"/>
        <v>0</v>
      </c>
      <c r="H106" s="32">
        <v>0</v>
      </c>
      <c r="I106" s="56"/>
    </row>
    <row r="107" spans="1:9" s="5" customFormat="1" ht="9.75" customHeight="1" x14ac:dyDescent="0.2">
      <c r="A107" s="102" t="s">
        <v>258</v>
      </c>
      <c r="B107" s="102"/>
      <c r="C107" s="102"/>
      <c r="D107" s="102"/>
      <c r="E107" s="102"/>
      <c r="F107" s="61">
        <f t="shared" si="4"/>
        <v>0</v>
      </c>
      <c r="G107" s="62"/>
      <c r="H107" s="62"/>
      <c r="I107" s="63"/>
    </row>
    <row r="108" spans="1:9" s="5" customFormat="1" ht="12.95" customHeight="1" x14ac:dyDescent="0.2">
      <c r="A108" s="41" t="s">
        <v>259</v>
      </c>
      <c r="B108" s="55">
        <v>1300</v>
      </c>
      <c r="C108" s="32">
        <f>C79</f>
        <v>9371</v>
      </c>
      <c r="D108" s="32">
        <f>D79</f>
        <v>-31653.000000000007</v>
      </c>
      <c r="E108" s="32">
        <f>E79</f>
        <v>22200</v>
      </c>
      <c r="F108" s="32">
        <f t="shared" si="4"/>
        <v>-31653.000000000007</v>
      </c>
      <c r="G108" s="32">
        <f>F108-E108</f>
        <v>-53853.000000000007</v>
      </c>
      <c r="H108" s="32">
        <f>F108/E108*100</f>
        <v>-142.58108108108112</v>
      </c>
      <c r="I108" s="56"/>
    </row>
    <row r="109" spans="1:9" s="5" customFormat="1" ht="12.95" customHeight="1" x14ac:dyDescent="0.2">
      <c r="A109" s="41" t="s">
        <v>260</v>
      </c>
      <c r="B109" s="55">
        <v>1301</v>
      </c>
      <c r="C109" s="32">
        <f>C121</f>
        <v>12740</v>
      </c>
      <c r="D109" s="32">
        <f>D121</f>
        <v>15081</v>
      </c>
      <c r="E109" s="32">
        <f>E121</f>
        <v>12495</v>
      </c>
      <c r="F109" s="32">
        <f t="shared" si="4"/>
        <v>15081</v>
      </c>
      <c r="G109" s="32">
        <f t="shared" ref="G109:G114" si="5">F109-E109</f>
        <v>2586</v>
      </c>
      <c r="H109" s="32">
        <f>F109/E109*100</f>
        <v>120.69627851140456</v>
      </c>
      <c r="I109" s="56"/>
    </row>
    <row r="110" spans="1:9" s="5" customFormat="1" ht="12.95" customHeight="1" x14ac:dyDescent="0.2">
      <c r="A110" s="41" t="s">
        <v>261</v>
      </c>
      <c r="B110" s="55">
        <v>1302</v>
      </c>
      <c r="C110" s="32">
        <f>C59</f>
        <v>28085.8</v>
      </c>
      <c r="D110" s="32">
        <f>D59</f>
        <v>26981.599999999999</v>
      </c>
      <c r="E110" s="32" t="str">
        <f>E59</f>
        <v>0,0</v>
      </c>
      <c r="F110" s="32">
        <f t="shared" si="4"/>
        <v>26981.599999999999</v>
      </c>
      <c r="G110" s="32">
        <f t="shared" si="5"/>
        <v>26981.599999999999</v>
      </c>
      <c r="H110" s="32">
        <v>0</v>
      </c>
      <c r="I110" s="56"/>
    </row>
    <row r="111" spans="1:9" s="5" customFormat="1" ht="12.95" customHeight="1" x14ac:dyDescent="0.2">
      <c r="A111" s="41" t="s">
        <v>262</v>
      </c>
      <c r="B111" s="55">
        <v>1303</v>
      </c>
      <c r="C111" s="32">
        <f>C68</f>
        <v>-28956.5</v>
      </c>
      <c r="D111" s="32">
        <f>D68</f>
        <v>-28277</v>
      </c>
      <c r="E111" s="32" t="str">
        <f>E68</f>
        <v>0,0</v>
      </c>
      <c r="F111" s="32">
        <f t="shared" si="4"/>
        <v>-28277</v>
      </c>
      <c r="G111" s="32">
        <f t="shared" si="5"/>
        <v>-28277</v>
      </c>
      <c r="H111" s="32">
        <v>0</v>
      </c>
      <c r="I111" s="56"/>
    </row>
    <row r="112" spans="1:9" s="5" customFormat="1" ht="12.95" customHeight="1" x14ac:dyDescent="0.2">
      <c r="A112" s="41" t="s">
        <v>263</v>
      </c>
      <c r="B112" s="55">
        <v>1304</v>
      </c>
      <c r="C112" s="32" t="str">
        <f>C60</f>
        <v>0,0</v>
      </c>
      <c r="D112" s="32" t="str">
        <f>D60</f>
        <v>0,0</v>
      </c>
      <c r="E112" s="32" t="str">
        <f>E60</f>
        <v>0,0</v>
      </c>
      <c r="F112" s="32" t="str">
        <f t="shared" si="4"/>
        <v>0,0</v>
      </c>
      <c r="G112" s="32">
        <f t="shared" si="5"/>
        <v>0</v>
      </c>
      <c r="H112" s="32">
        <v>0</v>
      </c>
      <c r="I112" s="56"/>
    </row>
    <row r="113" spans="1:9" s="5" customFormat="1" ht="12.95" customHeight="1" x14ac:dyDescent="0.2">
      <c r="A113" s="41" t="s">
        <v>264</v>
      </c>
      <c r="B113" s="55">
        <v>1305</v>
      </c>
      <c r="C113" s="32" t="str">
        <f>C69</f>
        <v>0,0</v>
      </c>
      <c r="D113" s="32" t="str">
        <f>D69</f>
        <v>0,0</v>
      </c>
      <c r="E113" s="32" t="str">
        <f>E69</f>
        <v>0,0</v>
      </c>
      <c r="F113" s="32" t="str">
        <f t="shared" si="4"/>
        <v>0,0</v>
      </c>
      <c r="G113" s="32">
        <f t="shared" si="5"/>
        <v>0</v>
      </c>
      <c r="H113" s="32">
        <v>0</v>
      </c>
      <c r="I113" s="56"/>
    </row>
    <row r="114" spans="1:9" s="5" customFormat="1" ht="12" customHeight="1" x14ac:dyDescent="0.2">
      <c r="A114" s="45" t="s">
        <v>69</v>
      </c>
      <c r="B114" s="53">
        <v>1310</v>
      </c>
      <c r="C114" s="35">
        <f>C108+C109-C110-C111-C112-C113</f>
        <v>22981.7</v>
      </c>
      <c r="D114" s="35">
        <f>D108+D109-D110-D111-D112-D113</f>
        <v>-15276.600000000006</v>
      </c>
      <c r="E114" s="35">
        <f>E108+E109-E110-E111-E112-E113</f>
        <v>34695</v>
      </c>
      <c r="F114" s="35">
        <f t="shared" si="4"/>
        <v>-15276.600000000006</v>
      </c>
      <c r="G114" s="35">
        <f t="shared" si="5"/>
        <v>-49971.600000000006</v>
      </c>
      <c r="H114" s="35">
        <f>F114/E114*100</f>
        <v>-44.031128404669282</v>
      </c>
      <c r="I114" s="54"/>
    </row>
    <row r="115" spans="1:9" s="5" customFormat="1" ht="12.95" customHeight="1" x14ac:dyDescent="0.2">
      <c r="A115" s="102" t="s">
        <v>88</v>
      </c>
      <c r="B115" s="102"/>
      <c r="C115" s="102"/>
      <c r="D115" s="102"/>
      <c r="E115" s="102"/>
      <c r="I115" s="63"/>
    </row>
    <row r="116" spans="1:9" s="5" customFormat="1" ht="12.95" customHeight="1" x14ac:dyDescent="0.2">
      <c r="A116" s="41" t="s">
        <v>89</v>
      </c>
      <c r="B116" s="55">
        <v>1400</v>
      </c>
      <c r="C116" s="32">
        <v>99982</v>
      </c>
      <c r="D116" s="32">
        <v>142858</v>
      </c>
      <c r="E116" s="32">
        <v>104685</v>
      </c>
      <c r="F116" s="32">
        <f>D116</f>
        <v>142858</v>
      </c>
      <c r="G116" s="32">
        <f>F116-E116</f>
        <v>38173</v>
      </c>
      <c r="H116" s="32">
        <f>F116/E116*100</f>
        <v>136.46463199121172</v>
      </c>
      <c r="I116" s="56"/>
    </row>
    <row r="117" spans="1:9" s="5" customFormat="1" ht="12.95" customHeight="1" x14ac:dyDescent="0.2">
      <c r="A117" s="41" t="s">
        <v>90</v>
      </c>
      <c r="B117" s="55">
        <v>1401</v>
      </c>
      <c r="C117" s="32">
        <v>18548.599999999999</v>
      </c>
      <c r="D117" s="32">
        <v>24689.4</v>
      </c>
      <c r="E117" s="32">
        <v>19715</v>
      </c>
      <c r="F117" s="32">
        <f t="shared" ref="F117:F123" si="6">D117</f>
        <v>24689.4</v>
      </c>
      <c r="G117" s="32">
        <f t="shared" ref="G117:G123" si="7">F117-E117</f>
        <v>4974.4000000000015</v>
      </c>
      <c r="H117" s="32">
        <f t="shared" ref="H117:H123" si="8">F117/E117*100</f>
        <v>125.23154958153691</v>
      </c>
      <c r="I117" s="56"/>
    </row>
    <row r="118" spans="1:9" s="5" customFormat="1" ht="12.95" customHeight="1" x14ac:dyDescent="0.2">
      <c r="A118" s="41" t="s">
        <v>91</v>
      </c>
      <c r="B118" s="55">
        <v>1402</v>
      </c>
      <c r="C118" s="32">
        <v>33660.400000000001</v>
      </c>
      <c r="D118" s="32">
        <v>46762</v>
      </c>
      <c r="E118" s="32">
        <v>36935</v>
      </c>
      <c r="F118" s="32">
        <f t="shared" si="6"/>
        <v>46762</v>
      </c>
      <c r="G118" s="32">
        <f t="shared" si="7"/>
        <v>9827</v>
      </c>
      <c r="H118" s="32">
        <f t="shared" si="8"/>
        <v>126.60620008122376</v>
      </c>
      <c r="I118" s="56"/>
    </row>
    <row r="119" spans="1:9" s="5" customFormat="1" ht="12.95" customHeight="1" x14ac:dyDescent="0.2">
      <c r="A119" s="41" t="s">
        <v>92</v>
      </c>
      <c r="B119" s="55">
        <v>1410</v>
      </c>
      <c r="C119" s="32">
        <v>101106</v>
      </c>
      <c r="D119" s="32">
        <v>115120</v>
      </c>
      <c r="E119" s="32">
        <v>96085</v>
      </c>
      <c r="F119" s="32">
        <f t="shared" si="6"/>
        <v>115120</v>
      </c>
      <c r="G119" s="32">
        <f t="shared" si="7"/>
        <v>19035</v>
      </c>
      <c r="H119" s="32">
        <f t="shared" si="8"/>
        <v>119.81058437841494</v>
      </c>
      <c r="I119" s="56"/>
    </row>
    <row r="120" spans="1:9" s="5" customFormat="1" ht="12.95" customHeight="1" x14ac:dyDescent="0.2">
      <c r="A120" s="41" t="s">
        <v>93</v>
      </c>
      <c r="B120" s="55">
        <v>1420</v>
      </c>
      <c r="C120" s="32">
        <v>32702</v>
      </c>
      <c r="D120" s="32">
        <v>25719</v>
      </c>
      <c r="E120" s="32">
        <v>21140</v>
      </c>
      <c r="F120" s="32">
        <f t="shared" si="6"/>
        <v>25719</v>
      </c>
      <c r="G120" s="32">
        <f t="shared" si="7"/>
        <v>4579</v>
      </c>
      <c r="H120" s="32">
        <f t="shared" si="8"/>
        <v>121.66035950804164</v>
      </c>
      <c r="I120" s="56"/>
    </row>
    <row r="121" spans="1:9" s="5" customFormat="1" ht="12.95" customHeight="1" x14ac:dyDescent="0.2">
      <c r="A121" s="41" t="s">
        <v>94</v>
      </c>
      <c r="B121" s="55">
        <v>1430</v>
      </c>
      <c r="C121" s="32">
        <v>12740</v>
      </c>
      <c r="D121" s="32">
        <v>15081</v>
      </c>
      <c r="E121" s="32">
        <v>12495</v>
      </c>
      <c r="F121" s="32">
        <f t="shared" si="6"/>
        <v>15081</v>
      </c>
      <c r="G121" s="32">
        <f t="shared" si="7"/>
        <v>2586</v>
      </c>
      <c r="H121" s="32">
        <f t="shared" si="8"/>
        <v>120.69627851140456</v>
      </c>
      <c r="I121" s="56"/>
    </row>
    <row r="122" spans="1:9" s="5" customFormat="1" ht="12.95" customHeight="1" x14ac:dyDescent="0.2">
      <c r="A122" s="41" t="s">
        <v>95</v>
      </c>
      <c r="B122" s="55">
        <v>1440</v>
      </c>
      <c r="C122" s="32">
        <v>441973</v>
      </c>
      <c r="D122" s="32">
        <v>563297</v>
      </c>
      <c r="E122" s="32">
        <v>428105</v>
      </c>
      <c r="F122" s="32">
        <f t="shared" si="6"/>
        <v>563297</v>
      </c>
      <c r="G122" s="32">
        <f t="shared" si="7"/>
        <v>135192</v>
      </c>
      <c r="H122" s="32">
        <f t="shared" si="8"/>
        <v>131.5791686618937</v>
      </c>
      <c r="I122" s="56"/>
    </row>
    <row r="123" spans="1:9" s="5" customFormat="1" ht="12" customHeight="1" x14ac:dyDescent="0.2">
      <c r="A123" s="45" t="s">
        <v>96</v>
      </c>
      <c r="B123" s="53">
        <v>1450</v>
      </c>
      <c r="C123" s="35">
        <f>SUM(C116,C119:C122)</f>
        <v>688503</v>
      </c>
      <c r="D123" s="35">
        <f>SUM(D116,D119:D122)</f>
        <v>862075</v>
      </c>
      <c r="E123" s="35">
        <f>SUM(E116,E119:E122)</f>
        <v>662510</v>
      </c>
      <c r="F123" s="35">
        <f t="shared" si="6"/>
        <v>862075</v>
      </c>
      <c r="G123" s="35">
        <f t="shared" si="7"/>
        <v>199565</v>
      </c>
      <c r="H123" s="35">
        <f t="shared" si="8"/>
        <v>130.12256418771037</v>
      </c>
      <c r="I123" s="54"/>
    </row>
    <row r="124" spans="1:9" s="5" customFormat="1" ht="12.95" customHeight="1" x14ac:dyDescent="0.2"/>
    <row r="125" spans="1:9" s="5" customFormat="1" ht="12.95" customHeight="1" x14ac:dyDescent="0.2">
      <c r="A125" s="49" t="s">
        <v>183</v>
      </c>
    </row>
    <row r="126" spans="1:9" ht="14.25" customHeight="1" x14ac:dyDescent="0.2">
      <c r="A126" s="22" t="s">
        <v>571</v>
      </c>
      <c r="B126" s="49"/>
      <c r="C126" s="72"/>
      <c r="D126" s="72"/>
      <c r="E126" s="49"/>
      <c r="F126" s="73" t="s">
        <v>599</v>
      </c>
      <c r="G126" s="74"/>
      <c r="H126" s="74"/>
    </row>
    <row r="127" spans="1:9" ht="11.45" customHeight="1" x14ac:dyDescent="0.2">
      <c r="A127" s="52" t="s">
        <v>184</v>
      </c>
      <c r="B127" s="49"/>
      <c r="C127" s="71" t="s">
        <v>185</v>
      </c>
      <c r="D127" s="71"/>
      <c r="E127" s="49"/>
      <c r="F127" s="71" t="s">
        <v>186</v>
      </c>
      <c r="G127" s="71"/>
      <c r="H127" s="71"/>
    </row>
  </sheetData>
  <mergeCells count="13">
    <mergeCell ref="C127:D127"/>
    <mergeCell ref="F127:H127"/>
    <mergeCell ref="A1:H1"/>
    <mergeCell ref="A3:A4"/>
    <mergeCell ref="B3:B4"/>
    <mergeCell ref="C3:D3"/>
    <mergeCell ref="E3:H3"/>
    <mergeCell ref="I3:I4"/>
    <mergeCell ref="A6:I6"/>
    <mergeCell ref="A107:E107"/>
    <mergeCell ref="A115:E115"/>
    <mergeCell ref="C126:D126"/>
    <mergeCell ref="F126:H126"/>
  </mergeCells>
  <phoneticPr fontId="0" type="noConversion"/>
  <pageMargins left="0.23622047244094491" right="0.23622047244094491" top="0.35433070866141736" bottom="0.35433070866141736" header="0" footer="0"/>
  <pageSetup paperSize="9" scale="71"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56"/>
  <sheetViews>
    <sheetView workbookViewId="0">
      <selection activeCell="H41" sqref="H41"/>
    </sheetView>
  </sheetViews>
  <sheetFormatPr defaultColWidth="8.7109375" defaultRowHeight="11.45" customHeight="1" x14ac:dyDescent="0.2"/>
  <cols>
    <col min="1" max="1" width="61.5703125" style="5" customWidth="1"/>
    <col min="2" max="2" width="9.85546875" style="5" customWidth="1"/>
    <col min="3" max="3" width="12.5703125" style="5" customWidth="1"/>
    <col min="4" max="8" width="12.5703125" style="6" customWidth="1"/>
    <col min="9" max="9" width="8.7109375" style="9"/>
    <col min="10" max="10" width="8.7109375" style="9" hidden="1" customWidth="1"/>
    <col min="11" max="16384" width="8.7109375" style="9"/>
  </cols>
  <sheetData>
    <row r="1" spans="1:10" s="5" customFormat="1" ht="12.95" customHeight="1" x14ac:dyDescent="0.2">
      <c r="A1" s="71" t="s">
        <v>97</v>
      </c>
      <c r="B1" s="71"/>
      <c r="C1" s="71"/>
      <c r="D1" s="71"/>
      <c r="E1" s="71"/>
      <c r="F1" s="71"/>
      <c r="G1" s="71"/>
      <c r="H1" s="71"/>
    </row>
    <row r="2" spans="1:10" s="5" customFormat="1" ht="12.95" customHeight="1" x14ac:dyDescent="0.2"/>
    <row r="3" spans="1:10" s="5" customFormat="1" ht="26.1" customHeight="1" x14ac:dyDescent="0.2">
      <c r="A3" s="101" t="s">
        <v>42</v>
      </c>
      <c r="B3" s="101" t="s">
        <v>43</v>
      </c>
      <c r="C3" s="101" t="s">
        <v>44</v>
      </c>
      <c r="D3" s="101"/>
      <c r="E3" s="101" t="str">
        <f>'Осн. фін. пок.'!E27:H27</f>
        <v>Звітний період (2017 р.)</v>
      </c>
      <c r="F3" s="101"/>
      <c r="G3" s="101"/>
      <c r="H3" s="101"/>
      <c r="J3" s="5" t="s">
        <v>572</v>
      </c>
    </row>
    <row r="4" spans="1:10" s="5" customFormat="1" ht="26.1" customHeight="1" x14ac:dyDescent="0.2">
      <c r="A4" s="101"/>
      <c r="B4" s="101"/>
      <c r="C4" s="46" t="s">
        <v>45</v>
      </c>
      <c r="D4" s="46" t="s">
        <v>46</v>
      </c>
      <c r="E4" s="46" t="s">
        <v>47</v>
      </c>
      <c r="F4" s="46" t="s">
        <v>48</v>
      </c>
      <c r="G4" s="46" t="s">
        <v>49</v>
      </c>
      <c r="H4" s="46" t="s">
        <v>50</v>
      </c>
    </row>
    <row r="5" spans="1:10" s="5" customFormat="1" ht="12.95" customHeight="1" x14ac:dyDescent="0.2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</row>
    <row r="6" spans="1:10" s="5" customFormat="1" ht="12.95" customHeight="1" x14ac:dyDescent="0.2">
      <c r="A6" s="102" t="s">
        <v>98</v>
      </c>
      <c r="B6" s="102"/>
      <c r="C6" s="102"/>
      <c r="D6" s="102"/>
      <c r="E6" s="102"/>
      <c r="F6" s="102"/>
      <c r="G6" s="102"/>
      <c r="H6" s="102"/>
    </row>
    <row r="7" spans="1:10" s="5" customFormat="1" ht="26.1" customHeight="1" x14ac:dyDescent="0.2">
      <c r="A7" s="41" t="s">
        <v>99</v>
      </c>
      <c r="B7" s="50">
        <v>2000</v>
      </c>
      <c r="C7" s="32">
        <v>-746633</v>
      </c>
      <c r="D7" s="32">
        <v>-720534</v>
      </c>
      <c r="E7" s="32">
        <v>-741973</v>
      </c>
      <c r="F7" s="32">
        <f>D7</f>
        <v>-720534</v>
      </c>
      <c r="G7" s="32">
        <f>F7-E7</f>
        <v>21439</v>
      </c>
      <c r="H7" s="32">
        <f>F7/E7*100</f>
        <v>97.110541758258051</v>
      </c>
      <c r="J7" s="32">
        <v>-720534</v>
      </c>
    </row>
    <row r="8" spans="1:10" s="5" customFormat="1" ht="26.1" customHeight="1" x14ac:dyDescent="0.2">
      <c r="A8" s="41" t="s">
        <v>100</v>
      </c>
      <c r="B8" s="50">
        <v>2010</v>
      </c>
      <c r="C8" s="32">
        <f>C9+C10</f>
        <v>0</v>
      </c>
      <c r="D8" s="32">
        <f>D9+D10</f>
        <v>-15032.5</v>
      </c>
      <c r="E8" s="32">
        <f>E9+E10</f>
        <v>-22395</v>
      </c>
      <c r="F8" s="32">
        <f t="shared" ref="F8:F20" si="0">D8</f>
        <v>-15032.5</v>
      </c>
      <c r="G8" s="32">
        <f t="shared" ref="G8:G20" si="1">F8-E8</f>
        <v>7362.5</v>
      </c>
      <c r="H8" s="32">
        <v>0</v>
      </c>
      <c r="J8" s="32">
        <v>0</v>
      </c>
    </row>
    <row r="9" spans="1:10" s="5" customFormat="1" ht="26.1" customHeight="1" x14ac:dyDescent="0.2">
      <c r="A9" s="41" t="s">
        <v>101</v>
      </c>
      <c r="B9" s="50">
        <v>2011</v>
      </c>
      <c r="C9" s="32" t="s">
        <v>53</v>
      </c>
      <c r="D9" s="32" t="s">
        <v>53</v>
      </c>
      <c r="E9" s="32" t="s">
        <v>53</v>
      </c>
      <c r="F9" s="32" t="str">
        <f t="shared" si="0"/>
        <v>0,0</v>
      </c>
      <c r="G9" s="32">
        <f t="shared" si="1"/>
        <v>0</v>
      </c>
      <c r="H9" s="32">
        <v>0</v>
      </c>
      <c r="J9" s="32" t="s">
        <v>53</v>
      </c>
    </row>
    <row r="10" spans="1:10" s="5" customFormat="1" ht="26.1" customHeight="1" x14ac:dyDescent="0.2">
      <c r="A10" s="41" t="s">
        <v>102</v>
      </c>
      <c r="B10" s="50">
        <v>2012</v>
      </c>
      <c r="C10" s="32" t="s">
        <v>53</v>
      </c>
      <c r="D10" s="32">
        <v>-15032.5</v>
      </c>
      <c r="E10" s="32">
        <v>-22395</v>
      </c>
      <c r="F10" s="32">
        <f t="shared" si="0"/>
        <v>-15032.5</v>
      </c>
      <c r="G10" s="32">
        <f t="shared" si="1"/>
        <v>7362.5</v>
      </c>
      <c r="H10" s="32">
        <v>0</v>
      </c>
      <c r="J10" s="32" t="s">
        <v>53</v>
      </c>
    </row>
    <row r="11" spans="1:10" s="5" customFormat="1" ht="12.95" customHeight="1" x14ac:dyDescent="0.2">
      <c r="A11" s="41" t="s">
        <v>103</v>
      </c>
      <c r="B11" s="46" t="s">
        <v>104</v>
      </c>
      <c r="C11" s="32" t="s">
        <v>53</v>
      </c>
      <c r="D11" s="32" t="s">
        <v>53</v>
      </c>
      <c r="E11" s="32">
        <v>-22395</v>
      </c>
      <c r="F11" s="32" t="str">
        <f t="shared" si="0"/>
        <v>0,0</v>
      </c>
      <c r="G11" s="32">
        <f t="shared" si="1"/>
        <v>22395</v>
      </c>
      <c r="H11" s="32">
        <v>0</v>
      </c>
      <c r="J11" s="32" t="s">
        <v>53</v>
      </c>
    </row>
    <row r="12" spans="1:10" s="5" customFormat="1" ht="12.95" customHeight="1" x14ac:dyDescent="0.2">
      <c r="A12" s="41" t="s">
        <v>105</v>
      </c>
      <c r="B12" s="50">
        <v>2020</v>
      </c>
      <c r="C12" s="32" t="s">
        <v>53</v>
      </c>
      <c r="D12" s="32" t="s">
        <v>53</v>
      </c>
      <c r="E12" s="32" t="s">
        <v>53</v>
      </c>
      <c r="F12" s="32" t="str">
        <f t="shared" si="0"/>
        <v>0,0</v>
      </c>
      <c r="G12" s="32">
        <f t="shared" si="1"/>
        <v>0</v>
      </c>
      <c r="H12" s="32">
        <v>0</v>
      </c>
      <c r="J12" s="32" t="s">
        <v>53</v>
      </c>
    </row>
    <row r="13" spans="1:10" s="5" customFormat="1" ht="12.95" customHeight="1" x14ac:dyDescent="0.2">
      <c r="A13" s="41" t="s">
        <v>106</v>
      </c>
      <c r="B13" s="50">
        <v>2030</v>
      </c>
      <c r="C13" s="32" t="s">
        <v>53</v>
      </c>
      <c r="D13" s="32" t="s">
        <v>53</v>
      </c>
      <c r="E13" s="32">
        <v>-1000</v>
      </c>
      <c r="F13" s="32" t="str">
        <f t="shared" si="0"/>
        <v>0,0</v>
      </c>
      <c r="G13" s="32">
        <f t="shared" si="1"/>
        <v>1000</v>
      </c>
      <c r="H13" s="32">
        <v>0</v>
      </c>
      <c r="J13" s="32" t="s">
        <v>53</v>
      </c>
    </row>
    <row r="14" spans="1:10" s="5" customFormat="1" ht="12.95" customHeight="1" x14ac:dyDescent="0.2">
      <c r="A14" s="41" t="s">
        <v>265</v>
      </c>
      <c r="B14" s="50">
        <v>2031</v>
      </c>
      <c r="C14" s="32" t="s">
        <v>53</v>
      </c>
      <c r="D14" s="32" t="s">
        <v>53</v>
      </c>
      <c r="E14" s="32">
        <v>-1000</v>
      </c>
      <c r="F14" s="32" t="str">
        <f t="shared" si="0"/>
        <v>0,0</v>
      </c>
      <c r="G14" s="32">
        <f t="shared" si="1"/>
        <v>1000</v>
      </c>
      <c r="H14" s="32">
        <v>0</v>
      </c>
      <c r="J14" s="32" t="s">
        <v>53</v>
      </c>
    </row>
    <row r="15" spans="1:10" s="5" customFormat="1" ht="12.95" customHeight="1" x14ac:dyDescent="0.2">
      <c r="A15" s="41" t="s">
        <v>107</v>
      </c>
      <c r="B15" s="50">
        <v>2040</v>
      </c>
      <c r="C15" s="32" t="s">
        <v>53</v>
      </c>
      <c r="D15" s="32" t="s">
        <v>53</v>
      </c>
      <c r="E15" s="32" t="s">
        <v>53</v>
      </c>
      <c r="F15" s="32" t="str">
        <f t="shared" si="0"/>
        <v>0,0</v>
      </c>
      <c r="G15" s="32">
        <f t="shared" si="1"/>
        <v>0</v>
      </c>
      <c r="H15" s="32">
        <v>0</v>
      </c>
      <c r="J15" s="32" t="s">
        <v>53</v>
      </c>
    </row>
    <row r="16" spans="1:10" s="5" customFormat="1" ht="12.95" customHeight="1" x14ac:dyDescent="0.2">
      <c r="A16" s="41" t="s">
        <v>266</v>
      </c>
      <c r="B16" s="50">
        <v>2050</v>
      </c>
      <c r="C16" s="32" t="s">
        <v>53</v>
      </c>
      <c r="D16" s="32" t="s">
        <v>53</v>
      </c>
      <c r="E16" s="32" t="s">
        <v>53</v>
      </c>
      <c r="F16" s="32" t="str">
        <f t="shared" si="0"/>
        <v>0,0</v>
      </c>
      <c r="G16" s="32">
        <f t="shared" si="1"/>
        <v>0</v>
      </c>
      <c r="H16" s="32">
        <v>0</v>
      </c>
      <c r="J16" s="32" t="s">
        <v>53</v>
      </c>
    </row>
    <row r="17" spans="1:10" s="5" customFormat="1" ht="12.95" customHeight="1" x14ac:dyDescent="0.2">
      <c r="A17" s="41" t="s">
        <v>267</v>
      </c>
      <c r="B17" s="50">
        <v>2060</v>
      </c>
      <c r="C17" s="32">
        <f>SUM(C18:C19)</f>
        <v>-3966</v>
      </c>
      <c r="D17" s="32">
        <f>SUM(D18:D19)</f>
        <v>-497.5</v>
      </c>
      <c r="E17" s="32">
        <f>SUM(E18:E19)</f>
        <v>0</v>
      </c>
      <c r="F17" s="32">
        <f t="shared" si="0"/>
        <v>-497.5</v>
      </c>
      <c r="G17" s="32">
        <f t="shared" si="1"/>
        <v>-497.5</v>
      </c>
      <c r="H17" s="32">
        <v>0</v>
      </c>
      <c r="J17" s="32">
        <v>-9475</v>
      </c>
    </row>
    <row r="18" spans="1:10" s="5" customFormat="1" ht="12.95" customHeight="1" x14ac:dyDescent="0.2">
      <c r="A18" s="43" t="s">
        <v>268</v>
      </c>
      <c r="B18" s="46" t="s">
        <v>533</v>
      </c>
      <c r="C18" s="32" t="s">
        <v>53</v>
      </c>
      <c r="D18" s="32" t="s">
        <v>53</v>
      </c>
      <c r="E18" s="32" t="s">
        <v>53</v>
      </c>
      <c r="F18" s="32" t="str">
        <f t="shared" si="0"/>
        <v>0,0</v>
      </c>
      <c r="G18" s="32">
        <f t="shared" si="1"/>
        <v>0</v>
      </c>
      <c r="H18" s="32">
        <v>0</v>
      </c>
      <c r="J18" s="32" t="s">
        <v>53</v>
      </c>
    </row>
    <row r="19" spans="1:10" s="5" customFormat="1" ht="12.95" customHeight="1" x14ac:dyDescent="0.2">
      <c r="A19" s="43" t="s">
        <v>245</v>
      </c>
      <c r="B19" s="47" t="s">
        <v>541</v>
      </c>
      <c r="C19" s="32">
        <v>-3966</v>
      </c>
      <c r="D19" s="32">
        <f>734067.5-734565</f>
        <v>-497.5</v>
      </c>
      <c r="E19" s="32" t="s">
        <v>53</v>
      </c>
      <c r="F19" s="32">
        <f t="shared" si="0"/>
        <v>-497.5</v>
      </c>
      <c r="G19" s="32">
        <f t="shared" si="1"/>
        <v>-497.5</v>
      </c>
      <c r="H19" s="32">
        <v>0</v>
      </c>
      <c r="J19" s="32">
        <v>-9475</v>
      </c>
    </row>
    <row r="20" spans="1:10" s="5" customFormat="1" ht="26.1" customHeight="1" x14ac:dyDescent="0.2">
      <c r="A20" s="41" t="s">
        <v>110</v>
      </c>
      <c r="B20" s="50">
        <v>2070</v>
      </c>
      <c r="C20" s="32">
        <f>SUM(C7,C8,C12,C13,C15,C16,C17)+'I. Формування фін. рез.'!C101</f>
        <v>-720534</v>
      </c>
      <c r="D20" s="32">
        <f>SUM(D7,D8,D12,D13,D15,D16,D17)+'I. Формування фін. рез.'!D101</f>
        <v>-734565</v>
      </c>
      <c r="E20" s="32">
        <f>SUM(E7,E8,E12,E13,E15,E16,E17)+'I. Формування фін. рез.'!E101</f>
        <v>-741678</v>
      </c>
      <c r="F20" s="32">
        <f t="shared" si="0"/>
        <v>-734565</v>
      </c>
      <c r="G20" s="32">
        <f t="shared" si="1"/>
        <v>7113</v>
      </c>
      <c r="H20" s="32">
        <f>F20/E20*100</f>
        <v>99.040958475241283</v>
      </c>
      <c r="J20" s="32">
        <v>-742825</v>
      </c>
    </row>
    <row r="21" spans="1:10" s="5" customFormat="1" ht="12.95" customHeight="1" x14ac:dyDescent="0.2">
      <c r="A21" s="102" t="s">
        <v>111</v>
      </c>
      <c r="B21" s="102"/>
      <c r="C21" s="102"/>
      <c r="D21" s="102"/>
      <c r="E21" s="102"/>
      <c r="F21" s="102"/>
      <c r="G21" s="102"/>
      <c r="H21" s="102"/>
    </row>
    <row r="22" spans="1:10" s="5" customFormat="1" ht="26.1" customHeight="1" x14ac:dyDescent="0.2">
      <c r="A22" s="45" t="s">
        <v>112</v>
      </c>
      <c r="B22" s="10">
        <v>2110</v>
      </c>
      <c r="C22" s="35">
        <f>SUM(C23:C31)</f>
        <v>5355.4</v>
      </c>
      <c r="D22" s="35">
        <f>SUM(D23:D31)</f>
        <v>1905.0999999999995</v>
      </c>
      <c r="E22" s="35">
        <f>SUM(E23:E31)</f>
        <v>2795</v>
      </c>
      <c r="F22" s="35">
        <f>D22</f>
        <v>1905.0999999999995</v>
      </c>
      <c r="G22" s="35">
        <f>F22-E22</f>
        <v>-889.90000000000055</v>
      </c>
      <c r="H22" s="35">
        <f>F22/E22*100</f>
        <v>68.161001788908749</v>
      </c>
      <c r="J22" s="35">
        <v>-1157.2999999999997</v>
      </c>
    </row>
    <row r="23" spans="1:10" s="5" customFormat="1" ht="12.95" customHeight="1" x14ac:dyDescent="0.2">
      <c r="A23" s="41" t="s">
        <v>113</v>
      </c>
      <c r="B23" s="50">
        <v>2111</v>
      </c>
      <c r="C23" s="32">
        <v>3866.1</v>
      </c>
      <c r="D23" s="32">
        <v>2716.2</v>
      </c>
      <c r="E23" s="32">
        <v>4030</v>
      </c>
      <c r="F23" s="32">
        <f t="shared" ref="F23:F52" si="2">D23</f>
        <v>2716.2</v>
      </c>
      <c r="G23" s="32">
        <f>F23-E23</f>
        <v>-1313.8000000000002</v>
      </c>
      <c r="H23" s="32">
        <f t="shared" ref="H23" si="3">F23/E23*100</f>
        <v>67.399503722084361</v>
      </c>
      <c r="J23" s="32">
        <v>2705.9</v>
      </c>
    </row>
    <row r="24" spans="1:10" s="5" customFormat="1" ht="12.95" customHeight="1" x14ac:dyDescent="0.2">
      <c r="A24" s="41" t="s">
        <v>114</v>
      </c>
      <c r="B24" s="50">
        <v>2112</v>
      </c>
      <c r="C24" s="32">
        <v>0</v>
      </c>
      <c r="D24" s="32">
        <v>0</v>
      </c>
      <c r="E24" s="32">
        <v>0</v>
      </c>
      <c r="F24" s="32">
        <f t="shared" si="2"/>
        <v>0</v>
      </c>
      <c r="G24" s="32">
        <f t="shared" ref="G24:G52" si="4">F24-E24</f>
        <v>0</v>
      </c>
      <c r="H24" s="32" t="s">
        <v>457</v>
      </c>
      <c r="J24" s="32">
        <v>0</v>
      </c>
    </row>
    <row r="25" spans="1:10" s="5" customFormat="1" ht="20.25" customHeight="1" x14ac:dyDescent="0.2">
      <c r="A25" s="41" t="s">
        <v>115</v>
      </c>
      <c r="B25" s="50">
        <v>2113</v>
      </c>
      <c r="C25" s="32">
        <v>-5446.6</v>
      </c>
      <c r="D25" s="32">
        <v>-8383.2000000000007</v>
      </c>
      <c r="E25" s="32">
        <v>-7000</v>
      </c>
      <c r="F25" s="32">
        <f t="shared" si="2"/>
        <v>-8383.2000000000007</v>
      </c>
      <c r="G25" s="32">
        <f t="shared" si="4"/>
        <v>-1383.2000000000007</v>
      </c>
      <c r="H25" s="32">
        <f>F25/E25*100</f>
        <v>119.76</v>
      </c>
      <c r="J25" s="32">
        <v>-6978.7</v>
      </c>
    </row>
    <row r="26" spans="1:10" s="5" customFormat="1" ht="12.95" customHeight="1" x14ac:dyDescent="0.2">
      <c r="A26" s="41" t="s">
        <v>116</v>
      </c>
      <c r="B26" s="50">
        <v>2114</v>
      </c>
      <c r="C26" s="32">
        <v>112.6</v>
      </c>
      <c r="D26" s="32">
        <v>203.7</v>
      </c>
      <c r="E26" s="32">
        <v>0</v>
      </c>
      <c r="F26" s="32">
        <f t="shared" si="2"/>
        <v>203.7</v>
      </c>
      <c r="G26" s="32">
        <f t="shared" si="4"/>
        <v>203.7</v>
      </c>
      <c r="H26" s="32" t="s">
        <v>457</v>
      </c>
      <c r="J26" s="32">
        <v>43.9</v>
      </c>
    </row>
    <row r="27" spans="1:10" s="5" customFormat="1" ht="26.1" customHeight="1" x14ac:dyDescent="0.2">
      <c r="A27" s="41" t="s">
        <v>117</v>
      </c>
      <c r="B27" s="50">
        <v>2115</v>
      </c>
      <c r="C27" s="32" t="s">
        <v>53</v>
      </c>
      <c r="D27" s="32" t="s">
        <v>53</v>
      </c>
      <c r="E27" s="32" t="s">
        <v>53</v>
      </c>
      <c r="F27" s="32" t="str">
        <f t="shared" si="2"/>
        <v>0,0</v>
      </c>
      <c r="G27" s="32">
        <f t="shared" si="4"/>
        <v>0</v>
      </c>
      <c r="H27" s="32" t="s">
        <v>457</v>
      </c>
      <c r="J27" s="32" t="s">
        <v>53</v>
      </c>
    </row>
    <row r="28" spans="1:10" s="5" customFormat="1" ht="12.95" customHeight="1" x14ac:dyDescent="0.2">
      <c r="A28" s="41" t="s">
        <v>118</v>
      </c>
      <c r="B28" s="50">
        <v>2116</v>
      </c>
      <c r="C28" s="32" t="s">
        <v>53</v>
      </c>
      <c r="D28" s="32" t="s">
        <v>53</v>
      </c>
      <c r="E28" s="32" t="s">
        <v>53</v>
      </c>
      <c r="F28" s="32" t="str">
        <f t="shared" si="2"/>
        <v>0,0</v>
      </c>
      <c r="G28" s="32">
        <f t="shared" si="4"/>
        <v>0</v>
      </c>
      <c r="H28" s="32" t="s">
        <v>457</v>
      </c>
      <c r="J28" s="32" t="s">
        <v>53</v>
      </c>
    </row>
    <row r="29" spans="1:10" s="5" customFormat="1" ht="12.95" customHeight="1" x14ac:dyDescent="0.2">
      <c r="A29" s="41" t="s">
        <v>119</v>
      </c>
      <c r="B29" s="50">
        <v>2117</v>
      </c>
      <c r="C29" s="32" t="s">
        <v>53</v>
      </c>
      <c r="D29" s="32" t="s">
        <v>53</v>
      </c>
      <c r="E29" s="32" t="s">
        <v>53</v>
      </c>
      <c r="F29" s="32" t="str">
        <f t="shared" si="2"/>
        <v>0,0</v>
      </c>
      <c r="G29" s="32">
        <f t="shared" si="4"/>
        <v>0</v>
      </c>
      <c r="H29" s="32" t="s">
        <v>457</v>
      </c>
      <c r="J29" s="32" t="s">
        <v>53</v>
      </c>
    </row>
    <row r="30" spans="1:10" s="5" customFormat="1" ht="12.95" customHeight="1" x14ac:dyDescent="0.2">
      <c r="A30" s="41" t="s">
        <v>269</v>
      </c>
      <c r="B30" s="50">
        <v>2118</v>
      </c>
      <c r="C30" s="32">
        <v>5080</v>
      </c>
      <c r="D30" s="32">
        <f>22107.4*0.25+0.05</f>
        <v>5526.9000000000005</v>
      </c>
      <c r="E30" s="32">
        <v>4325</v>
      </c>
      <c r="F30" s="32">
        <f t="shared" si="2"/>
        <v>5526.9000000000005</v>
      </c>
      <c r="G30" s="32">
        <f t="shared" si="4"/>
        <v>1201.9000000000005</v>
      </c>
      <c r="H30" s="32">
        <f t="shared" ref="H30:H32" si="5">F30/E30*100</f>
        <v>127.78959537572257</v>
      </c>
      <c r="J30" s="32">
        <v>2304.1999999999998</v>
      </c>
    </row>
    <row r="31" spans="1:10" s="5" customFormat="1" ht="12.95" customHeight="1" x14ac:dyDescent="0.2">
      <c r="A31" s="41" t="s">
        <v>270</v>
      </c>
      <c r="B31" s="50">
        <v>2119</v>
      </c>
      <c r="C31" s="32">
        <f>SUM(C32:C32)</f>
        <v>1743.3</v>
      </c>
      <c r="D31" s="32">
        <f>SUM(D32:D32)</f>
        <v>1841.5</v>
      </c>
      <c r="E31" s="32">
        <f>SUM(E32:E32)</f>
        <v>1440</v>
      </c>
      <c r="F31" s="32">
        <f t="shared" si="2"/>
        <v>1841.5</v>
      </c>
      <c r="G31" s="32">
        <f t="shared" si="4"/>
        <v>401.5</v>
      </c>
      <c r="H31" s="32">
        <f t="shared" si="5"/>
        <v>127.88194444444446</v>
      </c>
      <c r="J31" s="32">
        <v>767.4</v>
      </c>
    </row>
    <row r="32" spans="1:10" s="5" customFormat="1" ht="12.95" customHeight="1" x14ac:dyDescent="0.2">
      <c r="A32" s="43" t="s">
        <v>512</v>
      </c>
      <c r="B32" s="46" t="s">
        <v>513</v>
      </c>
      <c r="C32" s="32">
        <v>1743.3</v>
      </c>
      <c r="D32" s="32">
        <v>1841.5</v>
      </c>
      <c r="E32" s="32">
        <v>1440</v>
      </c>
      <c r="F32" s="32">
        <f t="shared" si="2"/>
        <v>1841.5</v>
      </c>
      <c r="G32" s="32">
        <f t="shared" si="4"/>
        <v>401.5</v>
      </c>
      <c r="H32" s="32">
        <f t="shared" si="5"/>
        <v>127.88194444444446</v>
      </c>
      <c r="J32" s="32">
        <v>767.4</v>
      </c>
    </row>
    <row r="33" spans="1:10" s="5" customFormat="1" ht="26.1" customHeight="1" x14ac:dyDescent="0.2">
      <c r="A33" s="45" t="s">
        <v>271</v>
      </c>
      <c r="B33" s="10">
        <v>2120</v>
      </c>
      <c r="C33" s="35">
        <f>SUM(C34:C37)</f>
        <v>23898.1</v>
      </c>
      <c r="D33" s="35">
        <f>SUM(D34:D37)</f>
        <v>27192.799999999999</v>
      </c>
      <c r="E33" s="35">
        <f>SUM(E34:E37)</f>
        <v>21535</v>
      </c>
      <c r="F33" s="35">
        <f t="shared" si="2"/>
        <v>27192.799999999999</v>
      </c>
      <c r="G33" s="35">
        <f t="shared" si="4"/>
        <v>5657.7999999999993</v>
      </c>
      <c r="H33" s="35">
        <f>F33/E33*100</f>
        <v>126.27257952170885</v>
      </c>
      <c r="J33" s="35">
        <v>12149.6</v>
      </c>
    </row>
    <row r="34" spans="1:10" s="5" customFormat="1" ht="12.95" customHeight="1" x14ac:dyDescent="0.2">
      <c r="A34" s="41" t="s">
        <v>269</v>
      </c>
      <c r="B34" s="50">
        <v>2121</v>
      </c>
      <c r="C34" s="32">
        <v>15240.3</v>
      </c>
      <c r="D34" s="32">
        <f>22107.4-5526.9</f>
        <v>16580.5</v>
      </c>
      <c r="E34" s="32">
        <v>12970</v>
      </c>
      <c r="F34" s="32">
        <f t="shared" si="2"/>
        <v>16580.5</v>
      </c>
      <c r="G34" s="32">
        <f t="shared" si="4"/>
        <v>3610.5</v>
      </c>
      <c r="H34" s="32">
        <f>F34/E34*100</f>
        <v>127.83731688511951</v>
      </c>
      <c r="J34" s="32">
        <v>6912.7</v>
      </c>
    </row>
    <row r="35" spans="1:10" s="5" customFormat="1" ht="12.95" customHeight="1" x14ac:dyDescent="0.2">
      <c r="A35" s="41" t="s">
        <v>272</v>
      </c>
      <c r="B35" s="50">
        <v>2122</v>
      </c>
      <c r="C35" s="32">
        <v>7271.4</v>
      </c>
      <c r="D35" s="32">
        <v>8071.7</v>
      </c>
      <c r="E35" s="32">
        <v>6800</v>
      </c>
      <c r="F35" s="32">
        <f t="shared" si="2"/>
        <v>8071.7</v>
      </c>
      <c r="G35" s="32">
        <f t="shared" si="4"/>
        <v>1271.6999999999998</v>
      </c>
      <c r="H35" s="32">
        <f>F35/E35*100</f>
        <v>118.70147058823528</v>
      </c>
      <c r="J35" s="32">
        <v>4011.4</v>
      </c>
    </row>
    <row r="36" spans="1:10" s="5" customFormat="1" ht="12.95" customHeight="1" x14ac:dyDescent="0.2">
      <c r="A36" s="41" t="s">
        <v>273</v>
      </c>
      <c r="B36" s="50">
        <v>2123</v>
      </c>
      <c r="C36" s="32" t="s">
        <v>53</v>
      </c>
      <c r="D36" s="32" t="s">
        <v>53</v>
      </c>
      <c r="E36" s="32" t="s">
        <v>53</v>
      </c>
      <c r="F36" s="32" t="str">
        <f t="shared" si="2"/>
        <v>0,0</v>
      </c>
      <c r="G36" s="32">
        <f t="shared" si="4"/>
        <v>0</v>
      </c>
      <c r="H36" s="32">
        <v>0</v>
      </c>
      <c r="J36" s="32" t="s">
        <v>53</v>
      </c>
    </row>
    <row r="37" spans="1:10" s="5" customFormat="1" ht="12.95" customHeight="1" x14ac:dyDescent="0.2">
      <c r="A37" s="41" t="s">
        <v>270</v>
      </c>
      <c r="B37" s="50">
        <v>2124</v>
      </c>
      <c r="C37" s="32">
        <f>SUM(C38:C39)</f>
        <v>1386.4</v>
      </c>
      <c r="D37" s="32">
        <f>SUM(D38:D39)</f>
        <v>2540.6</v>
      </c>
      <c r="E37" s="32">
        <f>SUM(E38:E39)</f>
        <v>1765</v>
      </c>
      <c r="F37" s="32">
        <f t="shared" si="2"/>
        <v>2540.6</v>
      </c>
      <c r="G37" s="32">
        <f t="shared" si="4"/>
        <v>775.59999999999991</v>
      </c>
      <c r="H37" s="32">
        <f>F37/E37*100</f>
        <v>143.94334277620396</v>
      </c>
      <c r="J37" s="32">
        <v>1225.5</v>
      </c>
    </row>
    <row r="38" spans="1:10" s="5" customFormat="1" ht="12.95" customHeight="1" x14ac:dyDescent="0.2">
      <c r="A38" s="43" t="s">
        <v>274</v>
      </c>
      <c r="B38" s="46" t="s">
        <v>514</v>
      </c>
      <c r="C38" s="32">
        <v>910.7</v>
      </c>
      <c r="D38" s="32">
        <v>1976.7</v>
      </c>
      <c r="E38" s="32">
        <v>540</v>
      </c>
      <c r="F38" s="32">
        <f t="shared" si="2"/>
        <v>1976.7</v>
      </c>
      <c r="G38" s="32">
        <f t="shared" si="4"/>
        <v>1436.7</v>
      </c>
      <c r="H38" s="32">
        <f>F38/E38*100</f>
        <v>366.0555555555556</v>
      </c>
      <c r="J38" s="32">
        <v>860.9</v>
      </c>
    </row>
    <row r="39" spans="1:10" s="5" customFormat="1" ht="12.95" customHeight="1" x14ac:dyDescent="0.2">
      <c r="A39" s="43" t="s">
        <v>198</v>
      </c>
      <c r="B39" s="46" t="s">
        <v>515</v>
      </c>
      <c r="C39" s="32">
        <v>475.7</v>
      </c>
      <c r="D39" s="32">
        <f>191.6+14.2+44.7+300.6+12.8</f>
        <v>563.9</v>
      </c>
      <c r="E39" s="32">
        <v>1225</v>
      </c>
      <c r="F39" s="32">
        <f t="shared" si="2"/>
        <v>563.9</v>
      </c>
      <c r="G39" s="32">
        <f t="shared" si="4"/>
        <v>-661.1</v>
      </c>
      <c r="H39" s="32">
        <f>F39/E39*100</f>
        <v>46.032653061224487</v>
      </c>
      <c r="J39" s="32">
        <v>364.6</v>
      </c>
    </row>
    <row r="40" spans="1:10" s="5" customFormat="1" ht="22.5" customHeight="1" x14ac:dyDescent="0.2">
      <c r="A40" s="45" t="s">
        <v>275</v>
      </c>
      <c r="B40" s="10">
        <v>2130</v>
      </c>
      <c r="C40" s="35">
        <f>SUM(C41:C44)</f>
        <v>45894.8</v>
      </c>
      <c r="D40" s="35">
        <f>SUM(D41:D44)</f>
        <v>43640.3</v>
      </c>
      <c r="E40" s="35">
        <f>SUM(E41:E44)</f>
        <v>43535</v>
      </c>
      <c r="F40" s="35">
        <f t="shared" si="2"/>
        <v>43640.3</v>
      </c>
      <c r="G40" s="35">
        <f t="shared" si="4"/>
        <v>105.30000000000291</v>
      </c>
      <c r="H40" s="35">
        <f>F40/E40*100</f>
        <v>100.24187435396807</v>
      </c>
      <c r="J40" s="35">
        <v>27081.4</v>
      </c>
    </row>
    <row r="41" spans="1:10" s="5" customFormat="1" ht="38.1" customHeight="1" x14ac:dyDescent="0.2">
      <c r="A41" s="41" t="s">
        <v>122</v>
      </c>
      <c r="B41" s="50">
        <v>2131</v>
      </c>
      <c r="C41" s="32">
        <v>17201.3</v>
      </c>
      <c r="D41" s="32">
        <v>15032.5</v>
      </c>
      <c r="E41" s="32">
        <v>22395</v>
      </c>
      <c r="F41" s="32">
        <f t="shared" si="2"/>
        <v>15032.5</v>
      </c>
      <c r="G41" s="32">
        <f t="shared" si="4"/>
        <v>-7362.5</v>
      </c>
      <c r="H41" s="32">
        <f t="shared" ref="H41" si="6">F41/E41*100</f>
        <v>67.124358115650821</v>
      </c>
      <c r="J41" s="32">
        <v>15042.8</v>
      </c>
    </row>
    <row r="42" spans="1:10" s="5" customFormat="1" ht="12.95" customHeight="1" x14ac:dyDescent="0.2">
      <c r="A42" s="41" t="s">
        <v>276</v>
      </c>
      <c r="B42" s="50">
        <v>2132</v>
      </c>
      <c r="C42" s="32" t="s">
        <v>53</v>
      </c>
      <c r="D42" s="32" t="s">
        <v>53</v>
      </c>
      <c r="E42" s="32" t="s">
        <v>53</v>
      </c>
      <c r="F42" s="32" t="str">
        <f t="shared" si="2"/>
        <v>0,0</v>
      </c>
      <c r="G42" s="32">
        <f t="shared" si="4"/>
        <v>0</v>
      </c>
      <c r="H42" s="32" t="s">
        <v>457</v>
      </c>
      <c r="J42" s="32" t="s">
        <v>53</v>
      </c>
    </row>
    <row r="43" spans="1:10" s="5" customFormat="1" ht="12.95" customHeight="1" x14ac:dyDescent="0.2">
      <c r="A43" s="41" t="s">
        <v>123</v>
      </c>
      <c r="B43" s="50">
        <v>2133</v>
      </c>
      <c r="C43" s="32">
        <v>28693.5</v>
      </c>
      <c r="D43" s="32">
        <v>28607.8</v>
      </c>
      <c r="E43" s="32">
        <v>21140</v>
      </c>
      <c r="F43" s="32">
        <f t="shared" si="2"/>
        <v>28607.8</v>
      </c>
      <c r="G43" s="32">
        <f t="shared" si="4"/>
        <v>7467.7999999999993</v>
      </c>
      <c r="H43" s="32">
        <f>F43/E43*100</f>
        <v>135.32544938505202</v>
      </c>
      <c r="J43" s="32">
        <v>12038.6</v>
      </c>
    </row>
    <row r="44" spans="1:10" s="5" customFormat="1" ht="12" customHeight="1" x14ac:dyDescent="0.2">
      <c r="A44" s="41" t="s">
        <v>277</v>
      </c>
      <c r="B44" s="50">
        <v>2134</v>
      </c>
      <c r="C44" s="32">
        <f>SUM(C45:C46)</f>
        <v>0</v>
      </c>
      <c r="D44" s="32">
        <f>SUM(D45:D46)</f>
        <v>0</v>
      </c>
      <c r="E44" s="32">
        <f>SUM(E45:E46)</f>
        <v>0</v>
      </c>
      <c r="F44" s="32">
        <f t="shared" si="2"/>
        <v>0</v>
      </c>
      <c r="G44" s="32">
        <f t="shared" si="4"/>
        <v>0</v>
      </c>
      <c r="H44" s="32">
        <v>0</v>
      </c>
      <c r="J44" s="32">
        <v>0</v>
      </c>
    </row>
    <row r="45" spans="1:10" s="5" customFormat="1" ht="12.95" hidden="1" customHeight="1" x14ac:dyDescent="0.2">
      <c r="A45" s="43"/>
      <c r="B45" s="46"/>
      <c r="C45" s="32"/>
      <c r="D45" s="32"/>
      <c r="E45" s="32"/>
      <c r="F45" s="32">
        <f t="shared" si="2"/>
        <v>0</v>
      </c>
      <c r="G45" s="32"/>
      <c r="H45" s="32"/>
      <c r="J45" s="32"/>
    </row>
    <row r="46" spans="1:10" s="5" customFormat="1" ht="12.95" hidden="1" customHeight="1" x14ac:dyDescent="0.2">
      <c r="A46" s="43"/>
      <c r="B46" s="46"/>
      <c r="C46" s="32"/>
      <c r="D46" s="32"/>
      <c r="E46" s="32"/>
      <c r="F46" s="32">
        <f t="shared" si="2"/>
        <v>0</v>
      </c>
      <c r="G46" s="32"/>
      <c r="H46" s="32"/>
      <c r="J46" s="32"/>
    </row>
    <row r="47" spans="1:10" s="5" customFormat="1" ht="12.95" customHeight="1" x14ac:dyDescent="0.2">
      <c r="A47" s="45" t="s">
        <v>278</v>
      </c>
      <c r="B47" s="10">
        <v>2140</v>
      </c>
      <c r="C47" s="35">
        <f>SUM(C48:C49)</f>
        <v>0</v>
      </c>
      <c r="D47" s="35">
        <f>SUM(D48:D49)</f>
        <v>0</v>
      </c>
      <c r="E47" s="35">
        <f>SUM(E48:E49)</f>
        <v>0</v>
      </c>
      <c r="F47" s="35">
        <f t="shared" si="2"/>
        <v>0</v>
      </c>
      <c r="G47" s="35">
        <f t="shared" si="4"/>
        <v>0</v>
      </c>
      <c r="H47" s="35">
        <v>0</v>
      </c>
      <c r="J47" s="35">
        <v>0</v>
      </c>
    </row>
    <row r="48" spans="1:10" s="5" customFormat="1" ht="26.1" customHeight="1" x14ac:dyDescent="0.2">
      <c r="A48" s="41" t="s">
        <v>279</v>
      </c>
      <c r="B48" s="50">
        <v>2141</v>
      </c>
      <c r="C48" s="32" t="s">
        <v>53</v>
      </c>
      <c r="D48" s="32" t="s">
        <v>53</v>
      </c>
      <c r="E48" s="32" t="s">
        <v>53</v>
      </c>
      <c r="F48" s="32" t="str">
        <f t="shared" si="2"/>
        <v>0,0</v>
      </c>
      <c r="G48" s="32">
        <f t="shared" si="4"/>
        <v>0</v>
      </c>
      <c r="H48" s="32">
        <v>0</v>
      </c>
      <c r="J48" s="32" t="s">
        <v>53</v>
      </c>
    </row>
    <row r="49" spans="1:10" s="5" customFormat="1" ht="12.95" customHeight="1" x14ac:dyDescent="0.2">
      <c r="A49" s="41" t="s">
        <v>280</v>
      </c>
      <c r="B49" s="50">
        <v>2142</v>
      </c>
      <c r="C49" s="32">
        <f>SUM(C50:C51)</f>
        <v>0</v>
      </c>
      <c r="D49" s="32">
        <f>SUM(D50:D51)</f>
        <v>0</v>
      </c>
      <c r="E49" s="32">
        <f>SUM(E50:E51)</f>
        <v>0</v>
      </c>
      <c r="F49" s="32">
        <f t="shared" si="2"/>
        <v>0</v>
      </c>
      <c r="G49" s="32">
        <f t="shared" si="4"/>
        <v>0</v>
      </c>
      <c r="H49" s="32">
        <v>0</v>
      </c>
      <c r="J49" s="32">
        <v>0</v>
      </c>
    </row>
    <row r="50" spans="1:10" s="5" customFormat="1" ht="12.95" customHeight="1" x14ac:dyDescent="0.2">
      <c r="A50" s="43" t="s">
        <v>525</v>
      </c>
      <c r="B50" s="46" t="s">
        <v>526</v>
      </c>
      <c r="C50" s="32">
        <v>0</v>
      </c>
      <c r="D50" s="32">
        <v>0</v>
      </c>
      <c r="E50" s="32" t="s">
        <v>53</v>
      </c>
      <c r="F50" s="32">
        <f t="shared" si="2"/>
        <v>0</v>
      </c>
      <c r="G50" s="32">
        <f t="shared" si="4"/>
        <v>0</v>
      </c>
      <c r="H50" s="32">
        <v>0</v>
      </c>
      <c r="J50" s="32">
        <v>0</v>
      </c>
    </row>
    <row r="51" spans="1:10" s="5" customFormat="1" ht="12.95" hidden="1" customHeight="1" x14ac:dyDescent="0.2">
      <c r="A51" s="43"/>
      <c r="B51" s="46"/>
      <c r="C51" s="32"/>
      <c r="D51" s="32"/>
      <c r="E51" s="32"/>
      <c r="F51" s="32">
        <f t="shared" si="2"/>
        <v>0</v>
      </c>
      <c r="G51" s="32"/>
      <c r="H51" s="32"/>
      <c r="J51" s="32"/>
    </row>
    <row r="52" spans="1:10" s="5" customFormat="1" ht="12.95" customHeight="1" x14ac:dyDescent="0.2">
      <c r="A52" s="45" t="s">
        <v>124</v>
      </c>
      <c r="B52" s="10">
        <v>2200</v>
      </c>
      <c r="C52" s="35">
        <f>SUM(C22,C33,C40,C47)</f>
        <v>75148.3</v>
      </c>
      <c r="D52" s="35">
        <f>SUM(D22,D33,D40,D47)</f>
        <v>72738.2</v>
      </c>
      <c r="E52" s="35">
        <f>SUM(E22,E33,E40,E47)</f>
        <v>67865</v>
      </c>
      <c r="F52" s="35">
        <f t="shared" si="2"/>
        <v>72738.2</v>
      </c>
      <c r="G52" s="35">
        <f t="shared" si="4"/>
        <v>4873.1999999999971</v>
      </c>
      <c r="H52" s="35">
        <f>F52/E52*100</f>
        <v>107.18072644220142</v>
      </c>
      <c r="J52" s="35">
        <v>38073.700000000004</v>
      </c>
    </row>
    <row r="53" spans="1:10" s="5" customFormat="1" ht="12.95" customHeight="1" x14ac:dyDescent="0.2"/>
    <row r="54" spans="1:10" s="5" customFormat="1" ht="12.95" customHeight="1" x14ac:dyDescent="0.2">
      <c r="A54" s="49" t="s">
        <v>183</v>
      </c>
      <c r="D54" s="25"/>
    </row>
    <row r="55" spans="1:10" s="23" customFormat="1" ht="12.95" customHeight="1" x14ac:dyDescent="0.2">
      <c r="A55" s="22" t="s">
        <v>571</v>
      </c>
      <c r="B55" s="49"/>
      <c r="C55" s="72"/>
      <c r="D55" s="72"/>
      <c r="E55" s="49"/>
      <c r="F55" s="73" t="s">
        <v>599</v>
      </c>
      <c r="G55" s="74"/>
      <c r="H55" s="74"/>
    </row>
    <row r="56" spans="1:10" s="23" customFormat="1" ht="12.95" customHeight="1" x14ac:dyDescent="0.2">
      <c r="A56" s="52" t="s">
        <v>184</v>
      </c>
      <c r="B56" s="49"/>
      <c r="C56" s="71" t="s">
        <v>185</v>
      </c>
      <c r="D56" s="71"/>
      <c r="E56" s="49"/>
      <c r="F56" s="71" t="s">
        <v>186</v>
      </c>
      <c r="G56" s="71"/>
      <c r="H56" s="71"/>
    </row>
  </sheetData>
  <mergeCells count="11">
    <mergeCell ref="A1:H1"/>
    <mergeCell ref="A3:A4"/>
    <mergeCell ref="B3:B4"/>
    <mergeCell ref="C3:D3"/>
    <mergeCell ref="E3:H3"/>
    <mergeCell ref="C56:D56"/>
    <mergeCell ref="F56:H56"/>
    <mergeCell ref="A6:H6"/>
    <mergeCell ref="C55:D55"/>
    <mergeCell ref="A21:H21"/>
    <mergeCell ref="F55:H55"/>
  </mergeCells>
  <phoneticPr fontId="0" type="noConversion"/>
  <pageMargins left="0.35433070866141736" right="0.35433070866141736" top="0.35433070866141736" bottom="0.35433070866141736" header="0" footer="0"/>
  <pageSetup paperSize="9" scale="95" fitToHeight="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107"/>
  <sheetViews>
    <sheetView topLeftCell="A14" workbookViewId="0">
      <selection activeCell="D27" sqref="D27:D29"/>
    </sheetView>
  </sheetViews>
  <sheetFormatPr defaultColWidth="8.7109375" defaultRowHeight="11.45" customHeight="1" x14ac:dyDescent="0.2"/>
  <cols>
    <col min="1" max="1" width="58.7109375" style="5" customWidth="1"/>
    <col min="2" max="2" width="7.28515625" style="5" customWidth="1"/>
    <col min="3" max="3" width="13.140625" style="6" customWidth="1"/>
    <col min="4" max="4" width="12.7109375" style="6" customWidth="1"/>
    <col min="5" max="5" width="11.140625" style="6" customWidth="1"/>
    <col min="6" max="6" width="11.7109375" style="6" customWidth="1"/>
    <col min="7" max="7" width="12.28515625" style="6" customWidth="1"/>
    <col min="8" max="8" width="10.5703125" style="6" customWidth="1"/>
    <col min="9" max="9" width="11.140625" style="29" hidden="1" customWidth="1"/>
    <col min="10" max="10" width="9.85546875" style="29" hidden="1" customWidth="1"/>
    <col min="11" max="11" width="8.5703125" style="29" hidden="1" customWidth="1"/>
    <col min="12" max="12" width="7.85546875" style="9" hidden="1" customWidth="1"/>
    <col min="13" max="13" width="6.28515625" style="9" hidden="1" customWidth="1"/>
    <col min="14" max="14" width="11.140625" style="9" hidden="1" customWidth="1"/>
    <col min="15" max="16" width="8.7109375" style="9" hidden="1" customWidth="1"/>
    <col min="17" max="17" width="8.7109375" style="9" customWidth="1"/>
    <col min="18" max="16384" width="8.7109375" style="9"/>
  </cols>
  <sheetData>
    <row r="1" spans="1:16" s="5" customFormat="1" ht="12.95" customHeight="1" x14ac:dyDescent="0.2">
      <c r="A1" s="71" t="s">
        <v>281</v>
      </c>
      <c r="B1" s="71"/>
      <c r="C1" s="71"/>
      <c r="D1" s="71"/>
      <c r="E1" s="71"/>
      <c r="F1" s="71"/>
      <c r="G1" s="71"/>
      <c r="H1" s="71"/>
      <c r="I1" s="26"/>
      <c r="J1" s="26"/>
      <c r="K1" s="26"/>
    </row>
    <row r="2" spans="1:16" s="5" customFormat="1" ht="12.95" customHeight="1" x14ac:dyDescent="0.2">
      <c r="I2" s="26"/>
      <c r="J2" s="26"/>
      <c r="K2" s="26"/>
    </row>
    <row r="3" spans="1:16" s="5" customFormat="1" ht="26.1" customHeight="1" x14ac:dyDescent="0.2">
      <c r="A3" s="101" t="s">
        <v>42</v>
      </c>
      <c r="B3" s="101" t="s">
        <v>43</v>
      </c>
      <c r="C3" s="101" t="s">
        <v>44</v>
      </c>
      <c r="D3" s="101"/>
      <c r="E3" s="101" t="str">
        <f>'Осн. фін. пок.'!E27:H27</f>
        <v>Звітний період (2017 р.)</v>
      </c>
      <c r="F3" s="101"/>
      <c r="G3" s="101"/>
      <c r="H3" s="101"/>
      <c r="I3" s="26"/>
      <c r="J3" s="26"/>
      <c r="K3" s="26"/>
      <c r="N3" s="5" t="s">
        <v>572</v>
      </c>
      <c r="O3" s="5" t="s">
        <v>556</v>
      </c>
      <c r="P3" s="5" t="s">
        <v>557</v>
      </c>
    </row>
    <row r="4" spans="1:16" s="5" customFormat="1" ht="26.1" customHeight="1" x14ac:dyDescent="0.2">
      <c r="A4" s="101"/>
      <c r="B4" s="101"/>
      <c r="C4" s="46" t="s">
        <v>45</v>
      </c>
      <c r="D4" s="46" t="s">
        <v>46</v>
      </c>
      <c r="E4" s="46" t="s">
        <v>47</v>
      </c>
      <c r="F4" s="46" t="s">
        <v>48</v>
      </c>
      <c r="G4" s="46" t="s">
        <v>49</v>
      </c>
      <c r="H4" s="46" t="s">
        <v>50</v>
      </c>
      <c r="I4" s="26"/>
      <c r="J4" s="26"/>
      <c r="K4" s="26"/>
    </row>
    <row r="5" spans="1:16" s="5" customFormat="1" ht="12.95" customHeight="1" x14ac:dyDescent="0.2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26"/>
      <c r="J5" s="26"/>
      <c r="K5" s="26"/>
    </row>
    <row r="6" spans="1:16" s="5" customFormat="1" ht="12.95" customHeight="1" x14ac:dyDescent="0.2">
      <c r="A6" s="102" t="s">
        <v>282</v>
      </c>
      <c r="B6" s="102"/>
      <c r="C6" s="102"/>
      <c r="D6" s="102"/>
      <c r="E6" s="102"/>
      <c r="F6" s="102"/>
      <c r="G6" s="102"/>
      <c r="H6" s="102"/>
      <c r="I6" s="26"/>
      <c r="J6" s="26"/>
      <c r="K6" s="26"/>
      <c r="L6" s="12"/>
    </row>
    <row r="7" spans="1:16" s="5" customFormat="1" ht="12.95" customHeight="1" x14ac:dyDescent="0.2">
      <c r="A7" s="45" t="s">
        <v>283</v>
      </c>
      <c r="B7" s="10">
        <v>3000</v>
      </c>
      <c r="C7" s="35">
        <f>SUM(C8:C15,C19)-C10</f>
        <v>672505</v>
      </c>
      <c r="D7" s="35">
        <f>SUM(D8:D15,D19)-D10</f>
        <v>802465</v>
      </c>
      <c r="E7" s="35">
        <f>SUM(E8:E15,E19)-E10</f>
        <v>730555</v>
      </c>
      <c r="F7" s="35">
        <f>D7</f>
        <v>802465</v>
      </c>
      <c r="G7" s="35">
        <f>F7-E7</f>
        <v>71910</v>
      </c>
      <c r="H7" s="35">
        <f>F7/E7*100</f>
        <v>109.84320140167408</v>
      </c>
      <c r="I7" s="27">
        <f>C7+C52+C80</f>
        <v>679959</v>
      </c>
      <c r="J7" s="27">
        <f>D7+D52+D80</f>
        <v>822882</v>
      </c>
      <c r="K7" s="26">
        <f>681259-1300</f>
        <v>679959</v>
      </c>
      <c r="L7" s="13">
        <f>K7-J7</f>
        <v>-142923</v>
      </c>
      <c r="N7" s="35">
        <v>338918.79999999993</v>
      </c>
    </row>
    <row r="8" spans="1:16" s="5" customFormat="1" ht="12.95" customHeight="1" x14ac:dyDescent="0.2">
      <c r="A8" s="41" t="s">
        <v>284</v>
      </c>
      <c r="B8" s="50">
        <v>3010</v>
      </c>
      <c r="C8" s="32">
        <v>467065</v>
      </c>
      <c r="D8" s="32">
        <v>525402</v>
      </c>
      <c r="E8" s="32">
        <v>676570</v>
      </c>
      <c r="F8" s="32">
        <f t="shared" ref="F8:F50" si="0">D8</f>
        <v>525402</v>
      </c>
      <c r="G8" s="32">
        <f t="shared" ref="G8:G49" si="1">F8-E8</f>
        <v>-151168</v>
      </c>
      <c r="H8" s="32">
        <f>F8/E8*100</f>
        <v>77.656709579200964</v>
      </c>
      <c r="I8" s="27">
        <f>72261.3+74758.5+152.6+72928.2+2767+3588+152.6+2979.9</f>
        <v>229588.09999999998</v>
      </c>
      <c r="J8" s="27">
        <f>D24+D60+D89</f>
        <v>-815586</v>
      </c>
      <c r="K8" s="26">
        <f>-711007+33918-1300</f>
        <v>-678389</v>
      </c>
      <c r="L8" s="13">
        <f>K8-J8</f>
        <v>137197</v>
      </c>
      <c r="N8" s="32">
        <v>242076.69999999995</v>
      </c>
    </row>
    <row r="9" spans="1:16" s="5" customFormat="1" ht="12.95" customHeight="1" x14ac:dyDescent="0.2">
      <c r="A9" s="41" t="s">
        <v>285</v>
      </c>
      <c r="B9" s="50">
        <v>3020</v>
      </c>
      <c r="C9" s="32">
        <v>130</v>
      </c>
      <c r="D9" s="32">
        <v>397</v>
      </c>
      <c r="E9" s="32">
        <v>7000</v>
      </c>
      <c r="F9" s="32">
        <f t="shared" si="0"/>
        <v>397</v>
      </c>
      <c r="G9" s="32">
        <f t="shared" si="1"/>
        <v>-6603</v>
      </c>
      <c r="H9" s="32">
        <f t="shared" ref="H9:H20" si="2">F9/E9*100</f>
        <v>5.6714285714285717</v>
      </c>
      <c r="I9" s="27">
        <f>I7+I8</f>
        <v>909547.1</v>
      </c>
      <c r="J9" s="27">
        <f>J7+J8</f>
        <v>7296</v>
      </c>
      <c r="K9" s="27">
        <f>K7+K8</f>
        <v>1570</v>
      </c>
      <c r="L9" s="12"/>
      <c r="N9" s="32">
        <v>0</v>
      </c>
    </row>
    <row r="10" spans="1:16" s="5" customFormat="1" ht="12.95" customHeight="1" x14ac:dyDescent="0.2">
      <c r="A10" s="41" t="s">
        <v>286</v>
      </c>
      <c r="B10" s="50">
        <v>3021</v>
      </c>
      <c r="C10" s="32">
        <v>130</v>
      </c>
      <c r="D10" s="32">
        <v>397</v>
      </c>
      <c r="E10" s="32">
        <v>7000</v>
      </c>
      <c r="F10" s="32">
        <f t="shared" si="0"/>
        <v>397</v>
      </c>
      <c r="G10" s="32">
        <f t="shared" si="1"/>
        <v>-6603</v>
      </c>
      <c r="H10" s="32">
        <f t="shared" si="2"/>
        <v>5.6714285714285717</v>
      </c>
      <c r="I10" s="26"/>
      <c r="J10" s="26"/>
      <c r="K10" s="26"/>
      <c r="L10" s="12"/>
      <c r="N10" s="32">
        <v>0</v>
      </c>
    </row>
    <row r="11" spans="1:16" s="5" customFormat="1" ht="12.95" customHeight="1" x14ac:dyDescent="0.2">
      <c r="A11" s="41" t="s">
        <v>287</v>
      </c>
      <c r="B11" s="50">
        <v>3030</v>
      </c>
      <c r="C11" s="32" t="s">
        <v>53</v>
      </c>
      <c r="D11" s="32" t="s">
        <v>53</v>
      </c>
      <c r="E11" s="32" t="s">
        <v>53</v>
      </c>
      <c r="F11" s="32" t="str">
        <f t="shared" si="0"/>
        <v>0,0</v>
      </c>
      <c r="G11" s="32">
        <f t="shared" si="1"/>
        <v>0</v>
      </c>
      <c r="H11" s="32" t="s">
        <v>457</v>
      </c>
      <c r="I11" s="26"/>
      <c r="J11" s="26"/>
      <c r="K11" s="27">
        <f>K9-J9</f>
        <v>-5726</v>
      </c>
      <c r="L11" s="12"/>
      <c r="N11" s="32" t="s">
        <v>53</v>
      </c>
    </row>
    <row r="12" spans="1:16" s="5" customFormat="1" ht="12.95" hidden="1" customHeight="1" x14ac:dyDescent="0.2">
      <c r="A12" s="43"/>
      <c r="B12" s="46"/>
      <c r="C12" s="32" t="s">
        <v>53</v>
      </c>
      <c r="D12" s="32" t="s">
        <v>53</v>
      </c>
      <c r="E12" s="32" t="s">
        <v>53</v>
      </c>
      <c r="F12" s="32" t="str">
        <f t="shared" si="0"/>
        <v>0,0</v>
      </c>
      <c r="G12" s="32">
        <f t="shared" si="1"/>
        <v>0</v>
      </c>
      <c r="H12" s="32" t="e">
        <f t="shared" si="2"/>
        <v>#DIV/0!</v>
      </c>
      <c r="I12" s="26"/>
      <c r="J12" s="26"/>
      <c r="K12" s="26"/>
      <c r="L12" s="12"/>
      <c r="N12" s="32" t="s">
        <v>53</v>
      </c>
    </row>
    <row r="13" spans="1:16" s="5" customFormat="1" ht="12.95" hidden="1" customHeight="1" x14ac:dyDescent="0.2">
      <c r="A13" s="43"/>
      <c r="B13" s="46"/>
      <c r="C13" s="32" t="s">
        <v>53</v>
      </c>
      <c r="D13" s="32" t="s">
        <v>53</v>
      </c>
      <c r="E13" s="32" t="s">
        <v>53</v>
      </c>
      <c r="F13" s="32" t="str">
        <f t="shared" si="0"/>
        <v>0,0</v>
      </c>
      <c r="G13" s="32">
        <f t="shared" si="1"/>
        <v>0</v>
      </c>
      <c r="H13" s="32" t="e">
        <f t="shared" si="2"/>
        <v>#DIV/0!</v>
      </c>
      <c r="I13" s="26"/>
      <c r="J13" s="26"/>
      <c r="K13" s="26"/>
      <c r="L13" s="12"/>
      <c r="N13" s="32" t="s">
        <v>53</v>
      </c>
    </row>
    <row r="14" spans="1:16" s="5" customFormat="1" ht="12.95" customHeight="1" x14ac:dyDescent="0.2">
      <c r="A14" s="41" t="s">
        <v>288</v>
      </c>
      <c r="B14" s="50">
        <v>3040</v>
      </c>
      <c r="C14" s="32">
        <v>96478</v>
      </c>
      <c r="D14" s="32">
        <v>149618</v>
      </c>
      <c r="E14" s="32" t="s">
        <v>53</v>
      </c>
      <c r="F14" s="32">
        <f t="shared" si="0"/>
        <v>149618</v>
      </c>
      <c r="G14" s="32">
        <f t="shared" si="1"/>
        <v>149618</v>
      </c>
      <c r="H14" s="32" t="s">
        <v>457</v>
      </c>
      <c r="I14" s="26">
        <v>597098</v>
      </c>
      <c r="J14" s="26"/>
      <c r="K14" s="26"/>
      <c r="L14" s="12"/>
      <c r="N14" s="32">
        <v>66154.8</v>
      </c>
    </row>
    <row r="15" spans="1:16" s="5" customFormat="1" ht="19.5" customHeight="1" x14ac:dyDescent="0.2">
      <c r="A15" s="41" t="s">
        <v>289</v>
      </c>
      <c r="B15" s="50">
        <v>3050</v>
      </c>
      <c r="C15" s="32">
        <f>SUM(C16:C18)</f>
        <v>0</v>
      </c>
      <c r="D15" s="32">
        <v>25000</v>
      </c>
      <c r="E15" s="32">
        <f>SUM(E16:E18)</f>
        <v>45000</v>
      </c>
      <c r="F15" s="32">
        <f t="shared" si="0"/>
        <v>25000</v>
      </c>
      <c r="G15" s="32">
        <f t="shared" si="1"/>
        <v>-20000</v>
      </c>
      <c r="H15" s="32">
        <f t="shared" si="2"/>
        <v>55.555555555555557</v>
      </c>
      <c r="I15" s="26">
        <v>600162</v>
      </c>
      <c r="J15" s="26"/>
      <c r="K15" s="26"/>
      <c r="L15" s="12"/>
      <c r="N15" s="32">
        <v>25000</v>
      </c>
    </row>
    <row r="16" spans="1:16" s="5" customFormat="1" ht="12.95" customHeight="1" x14ac:dyDescent="0.2">
      <c r="A16" s="41" t="s">
        <v>290</v>
      </c>
      <c r="B16" s="50">
        <v>3051</v>
      </c>
      <c r="C16" s="32" t="s">
        <v>53</v>
      </c>
      <c r="D16" s="32">
        <v>25000</v>
      </c>
      <c r="E16" s="32">
        <v>45000</v>
      </c>
      <c r="F16" s="32">
        <f t="shared" si="0"/>
        <v>25000</v>
      </c>
      <c r="G16" s="32">
        <f t="shared" si="1"/>
        <v>-20000</v>
      </c>
      <c r="H16" s="32">
        <f t="shared" si="2"/>
        <v>55.555555555555557</v>
      </c>
      <c r="I16" s="26">
        <f>I14-I15</f>
        <v>-3064</v>
      </c>
      <c r="J16" s="26"/>
      <c r="K16" s="26"/>
      <c r="L16" s="12"/>
      <c r="N16" s="32">
        <v>25000</v>
      </c>
    </row>
    <row r="17" spans="1:14" s="5" customFormat="1" ht="12.95" customHeight="1" x14ac:dyDescent="0.2">
      <c r="A17" s="41" t="s">
        <v>291</v>
      </c>
      <c r="B17" s="50">
        <v>3052</v>
      </c>
      <c r="C17" s="32" t="s">
        <v>53</v>
      </c>
      <c r="D17" s="32">
        <v>0</v>
      </c>
      <c r="E17" s="32">
        <v>0</v>
      </c>
      <c r="F17" s="32">
        <f t="shared" si="0"/>
        <v>0</v>
      </c>
      <c r="G17" s="32">
        <f t="shared" si="1"/>
        <v>0</v>
      </c>
      <c r="H17" s="32" t="s">
        <v>457</v>
      </c>
      <c r="I17" s="26"/>
      <c r="J17" s="26"/>
      <c r="K17" s="26"/>
      <c r="L17" s="12"/>
      <c r="N17" s="32">
        <v>0</v>
      </c>
    </row>
    <row r="18" spans="1:14" s="5" customFormat="1" ht="12.95" customHeight="1" x14ac:dyDescent="0.2">
      <c r="A18" s="41" t="s">
        <v>292</v>
      </c>
      <c r="B18" s="50">
        <v>3053</v>
      </c>
      <c r="C18" s="32" t="s">
        <v>53</v>
      </c>
      <c r="D18" s="32" t="s">
        <v>53</v>
      </c>
      <c r="E18" s="32" t="s">
        <v>53</v>
      </c>
      <c r="F18" s="32" t="str">
        <f t="shared" si="0"/>
        <v>0,0</v>
      </c>
      <c r="G18" s="32">
        <f t="shared" si="1"/>
        <v>0</v>
      </c>
      <c r="H18" s="32" t="s">
        <v>457</v>
      </c>
      <c r="I18" s="27">
        <f>I8+I15</f>
        <v>829750.1</v>
      </c>
      <c r="J18" s="26"/>
      <c r="K18" s="26"/>
      <c r="L18" s="12"/>
      <c r="N18" s="32" t="s">
        <v>53</v>
      </c>
    </row>
    <row r="19" spans="1:14" s="5" customFormat="1" ht="12.95" customHeight="1" x14ac:dyDescent="0.2">
      <c r="A19" s="41" t="s">
        <v>293</v>
      </c>
      <c r="B19" s="50">
        <v>3060</v>
      </c>
      <c r="C19" s="32">
        <f>SUM(C20:C23)</f>
        <v>108832</v>
      </c>
      <c r="D19" s="32">
        <f>SUM(D20:D23)</f>
        <v>102048</v>
      </c>
      <c r="E19" s="32">
        <f>SUM(E20:E23)</f>
        <v>1985</v>
      </c>
      <c r="F19" s="32">
        <f t="shared" si="0"/>
        <v>102048</v>
      </c>
      <c r="G19" s="32">
        <f t="shared" si="1"/>
        <v>100063</v>
      </c>
      <c r="H19" s="32">
        <f t="shared" si="2"/>
        <v>5140.9571788413095</v>
      </c>
      <c r="I19" s="26"/>
      <c r="J19" s="26"/>
      <c r="K19" s="26"/>
      <c r="N19" s="32">
        <v>5687.2999999999993</v>
      </c>
    </row>
    <row r="20" spans="1:14" s="5" customFormat="1" ht="12.95" customHeight="1" x14ac:dyDescent="0.2">
      <c r="A20" s="43" t="s">
        <v>232</v>
      </c>
      <c r="B20" s="46" t="s">
        <v>516</v>
      </c>
      <c r="C20" s="32">
        <v>2593.1999999999998</v>
      </c>
      <c r="D20" s="32">
        <v>1487</v>
      </c>
      <c r="E20" s="32">
        <v>1985</v>
      </c>
      <c r="F20" s="32">
        <f t="shared" si="0"/>
        <v>1487</v>
      </c>
      <c r="G20" s="32">
        <f t="shared" si="1"/>
        <v>-498</v>
      </c>
      <c r="H20" s="32">
        <f t="shared" si="2"/>
        <v>74.911838790931995</v>
      </c>
      <c r="I20" s="26"/>
      <c r="J20" s="26"/>
      <c r="K20" s="26"/>
      <c r="N20" s="32">
        <v>1251.7</v>
      </c>
    </row>
    <row r="21" spans="1:14" s="5" customFormat="1" ht="12.95" customHeight="1" x14ac:dyDescent="0.2">
      <c r="A21" s="43" t="s">
        <v>294</v>
      </c>
      <c r="B21" s="46" t="s">
        <v>517</v>
      </c>
      <c r="C21" s="32">
        <v>106238.8</v>
      </c>
      <c r="D21" s="32">
        <f>36+62+100463</f>
        <v>100561</v>
      </c>
      <c r="E21" s="32" t="s">
        <v>53</v>
      </c>
      <c r="F21" s="32">
        <f t="shared" si="0"/>
        <v>100561</v>
      </c>
      <c r="G21" s="32">
        <f t="shared" si="1"/>
        <v>100561</v>
      </c>
      <c r="H21" s="32" t="s">
        <v>457</v>
      </c>
      <c r="I21" s="26"/>
      <c r="J21" s="26"/>
      <c r="K21" s="26"/>
      <c r="N21" s="32">
        <v>4435.5999999999995</v>
      </c>
    </row>
    <row r="22" spans="1:14" s="5" customFormat="1" ht="12.95" hidden="1" customHeight="1" x14ac:dyDescent="0.2">
      <c r="A22" s="43"/>
      <c r="B22" s="46"/>
      <c r="C22" s="32" t="s">
        <v>53</v>
      </c>
      <c r="D22" s="32" t="s">
        <v>53</v>
      </c>
      <c r="E22" s="32" t="s">
        <v>53</v>
      </c>
      <c r="F22" s="32" t="str">
        <f t="shared" si="0"/>
        <v>0,0</v>
      </c>
      <c r="G22" s="32">
        <f t="shared" si="1"/>
        <v>0</v>
      </c>
      <c r="H22" s="32" t="e">
        <f t="shared" ref="H22:H29" si="3">F22/E22*100</f>
        <v>#DIV/0!</v>
      </c>
      <c r="I22" s="26"/>
      <c r="J22" s="26"/>
      <c r="K22" s="26"/>
      <c r="N22" s="32" t="s">
        <v>53</v>
      </c>
    </row>
    <row r="23" spans="1:14" s="5" customFormat="1" ht="12.95" hidden="1" customHeight="1" x14ac:dyDescent="0.2">
      <c r="A23" s="43"/>
      <c r="B23" s="46"/>
      <c r="C23" s="32" t="s">
        <v>53</v>
      </c>
      <c r="D23" s="32" t="s">
        <v>53</v>
      </c>
      <c r="E23" s="32" t="s">
        <v>53</v>
      </c>
      <c r="F23" s="32" t="str">
        <f t="shared" si="0"/>
        <v>0,0</v>
      </c>
      <c r="G23" s="32">
        <f t="shared" si="1"/>
        <v>0</v>
      </c>
      <c r="H23" s="32" t="e">
        <f t="shared" si="3"/>
        <v>#DIV/0!</v>
      </c>
      <c r="I23" s="26"/>
      <c r="J23" s="26"/>
      <c r="K23" s="26"/>
      <c r="N23" s="32" t="s">
        <v>53</v>
      </c>
    </row>
    <row r="24" spans="1:14" s="5" customFormat="1" ht="12.95" customHeight="1" x14ac:dyDescent="0.2">
      <c r="A24" s="45" t="s">
        <v>295</v>
      </c>
      <c r="B24" s="10">
        <v>3100</v>
      </c>
      <c r="C24" s="35">
        <f>SUM(C25,C26,C27,C31,C47)</f>
        <v>-678389</v>
      </c>
      <c r="D24" s="35">
        <f>SUM(D25,D26,D27,D31,D47)</f>
        <v>-788722</v>
      </c>
      <c r="E24" s="35">
        <f>SUM(E25,E26,E27,E31,E47)</f>
        <v>-705860</v>
      </c>
      <c r="F24" s="35">
        <f t="shared" si="0"/>
        <v>-788722</v>
      </c>
      <c r="G24" s="35">
        <f t="shared" si="1"/>
        <v>-82862</v>
      </c>
      <c r="H24" s="35">
        <f t="shared" si="3"/>
        <v>111.73915507324399</v>
      </c>
      <c r="I24" s="26"/>
      <c r="J24" s="26"/>
      <c r="K24" s="26"/>
      <c r="N24" s="35">
        <v>-344391.4</v>
      </c>
    </row>
    <row r="25" spans="1:14" s="5" customFormat="1" ht="12.95" customHeight="1" x14ac:dyDescent="0.2">
      <c r="A25" s="41" t="s">
        <v>296</v>
      </c>
      <c r="B25" s="50">
        <v>3110</v>
      </c>
      <c r="C25" s="32">
        <v>-422214</v>
      </c>
      <c r="D25" s="4">
        <v>-503424</v>
      </c>
      <c r="E25" s="32">
        <v>-500095</v>
      </c>
      <c r="F25" s="4">
        <f t="shared" si="0"/>
        <v>-503424</v>
      </c>
      <c r="G25" s="32">
        <f t="shared" si="1"/>
        <v>-3329</v>
      </c>
      <c r="H25" s="32">
        <f t="shared" si="3"/>
        <v>100.66567352203081</v>
      </c>
      <c r="I25" s="26"/>
      <c r="J25" s="26"/>
      <c r="K25" s="26"/>
      <c r="N25" s="4">
        <v>-253892.9</v>
      </c>
    </row>
    <row r="26" spans="1:14" s="5" customFormat="1" ht="12.95" customHeight="1" x14ac:dyDescent="0.2">
      <c r="A26" s="41" t="s">
        <v>297</v>
      </c>
      <c r="B26" s="50">
        <v>3120</v>
      </c>
      <c r="C26" s="32">
        <v>-92618</v>
      </c>
      <c r="D26" s="4">
        <v>-96569</v>
      </c>
      <c r="E26" s="32">
        <v>-78790</v>
      </c>
      <c r="F26" s="4">
        <f t="shared" si="0"/>
        <v>-96569</v>
      </c>
      <c r="G26" s="32">
        <f t="shared" si="1"/>
        <v>-17779</v>
      </c>
      <c r="H26" s="32">
        <f t="shared" si="3"/>
        <v>122.56504632567584</v>
      </c>
      <c r="I26" s="26"/>
      <c r="J26" s="26"/>
      <c r="K26" s="26"/>
      <c r="N26" s="4">
        <v>-40643.200000000004</v>
      </c>
    </row>
    <row r="27" spans="1:14" s="5" customFormat="1" ht="26.1" customHeight="1" x14ac:dyDescent="0.2">
      <c r="A27" s="41" t="s">
        <v>298</v>
      </c>
      <c r="B27" s="50">
        <v>3130</v>
      </c>
      <c r="C27" s="32">
        <f>SUM(C28:C30)</f>
        <v>-1300</v>
      </c>
      <c r="D27" s="32">
        <f>SUM(D28:D30)</f>
        <v>-28250</v>
      </c>
      <c r="E27" s="32">
        <f>SUM(E28:E30)</f>
        <v>-49200</v>
      </c>
      <c r="F27" s="32">
        <f t="shared" si="0"/>
        <v>-28250</v>
      </c>
      <c r="G27" s="32">
        <f t="shared" si="1"/>
        <v>20950</v>
      </c>
      <c r="H27" s="32">
        <f t="shared" si="3"/>
        <v>57.418699186991873</v>
      </c>
      <c r="I27" s="26"/>
      <c r="J27" s="26"/>
      <c r="K27" s="26"/>
      <c r="N27" s="32">
        <v>-4650</v>
      </c>
    </row>
    <row r="28" spans="1:14" s="5" customFormat="1" ht="12.95" customHeight="1" x14ac:dyDescent="0.2">
      <c r="A28" s="41" t="s">
        <v>290</v>
      </c>
      <c r="B28" s="50">
        <v>3131</v>
      </c>
      <c r="C28" s="32" t="s">
        <v>53</v>
      </c>
      <c r="D28" s="32">
        <v>-25000</v>
      </c>
      <c r="E28" s="32">
        <v>-45000</v>
      </c>
      <c r="F28" s="32">
        <f t="shared" si="0"/>
        <v>-25000</v>
      </c>
      <c r="G28" s="32">
        <f>F28-E28</f>
        <v>20000</v>
      </c>
      <c r="H28" s="32">
        <f t="shared" si="3"/>
        <v>55.555555555555557</v>
      </c>
      <c r="I28" s="26"/>
      <c r="J28" s="26"/>
      <c r="K28" s="26"/>
      <c r="N28" s="32">
        <v>-2800</v>
      </c>
    </row>
    <row r="29" spans="1:14" s="5" customFormat="1" ht="12.95" customHeight="1" x14ac:dyDescent="0.2">
      <c r="A29" s="41" t="s">
        <v>291</v>
      </c>
      <c r="B29" s="50">
        <v>3132</v>
      </c>
      <c r="C29" s="32">
        <v>-1300</v>
      </c>
      <c r="D29" s="32">
        <v>-3250</v>
      </c>
      <c r="E29" s="32">
        <v>-4200</v>
      </c>
      <c r="F29" s="32">
        <f t="shared" si="0"/>
        <v>-3250</v>
      </c>
      <c r="G29" s="32">
        <f t="shared" si="1"/>
        <v>950</v>
      </c>
      <c r="H29" s="32">
        <f t="shared" si="3"/>
        <v>77.38095238095238</v>
      </c>
      <c r="I29" s="26"/>
      <c r="J29" s="26"/>
      <c r="K29" s="26"/>
      <c r="N29" s="32">
        <v>-1850</v>
      </c>
    </row>
    <row r="30" spans="1:14" s="5" customFormat="1" ht="12.95" customHeight="1" x14ac:dyDescent="0.2">
      <c r="A30" s="41" t="s">
        <v>292</v>
      </c>
      <c r="B30" s="50">
        <v>3133</v>
      </c>
      <c r="C30" s="32" t="s">
        <v>53</v>
      </c>
      <c r="D30" s="32" t="s">
        <v>53</v>
      </c>
      <c r="E30" s="32" t="s">
        <v>53</v>
      </c>
      <c r="F30" s="32" t="str">
        <f t="shared" si="0"/>
        <v>0,0</v>
      </c>
      <c r="G30" s="32">
        <f t="shared" si="1"/>
        <v>0</v>
      </c>
      <c r="H30" s="32" t="s">
        <v>457</v>
      </c>
      <c r="I30" s="26"/>
      <c r="J30" s="26"/>
      <c r="K30" s="26"/>
      <c r="N30" s="32" t="s">
        <v>53</v>
      </c>
    </row>
    <row r="31" spans="1:14" s="5" customFormat="1" ht="26.1" customHeight="1" x14ac:dyDescent="0.2">
      <c r="A31" s="41" t="s">
        <v>299</v>
      </c>
      <c r="B31" s="50">
        <v>3140</v>
      </c>
      <c r="C31" s="32">
        <f>SUM(C32:C37,C39)</f>
        <v>-78595</v>
      </c>
      <c r="D31" s="32">
        <f>SUM(D32:D37,D39)</f>
        <v>-66121</v>
      </c>
      <c r="E31" s="32">
        <f>SUM(E32:E37,E39)</f>
        <v>-74865</v>
      </c>
      <c r="F31" s="32">
        <f t="shared" si="0"/>
        <v>-66121</v>
      </c>
      <c r="G31" s="32">
        <f t="shared" si="1"/>
        <v>8744</v>
      </c>
      <c r="H31" s="32">
        <f>F31/E31*100</f>
        <v>88.320309891137384</v>
      </c>
      <c r="I31" s="26"/>
      <c r="J31" s="26"/>
      <c r="K31" s="26"/>
      <c r="N31" s="32">
        <v>-45052.399999999994</v>
      </c>
    </row>
    <row r="32" spans="1:14" s="5" customFormat="1" ht="12.95" customHeight="1" x14ac:dyDescent="0.2">
      <c r="A32" s="41" t="s">
        <v>113</v>
      </c>
      <c r="B32" s="50">
        <v>3141</v>
      </c>
      <c r="C32" s="32">
        <v>-3096</v>
      </c>
      <c r="D32" s="32">
        <v>-2705</v>
      </c>
      <c r="E32" s="32">
        <v>-4030</v>
      </c>
      <c r="F32" s="32">
        <f t="shared" si="0"/>
        <v>-2705</v>
      </c>
      <c r="G32" s="32">
        <f t="shared" si="1"/>
        <v>1325</v>
      </c>
      <c r="H32" s="32">
        <f t="shared" ref="H32:H50" si="4">F32/E32*100</f>
        <v>67.121588089330018</v>
      </c>
      <c r="I32" s="26"/>
      <c r="J32" s="26"/>
      <c r="K32" s="26"/>
      <c r="N32" s="32">
        <v>-2705.9</v>
      </c>
    </row>
    <row r="33" spans="1:14" s="5" customFormat="1" ht="12.95" customHeight="1" x14ac:dyDescent="0.2">
      <c r="A33" s="41" t="s">
        <v>300</v>
      </c>
      <c r="B33" s="50">
        <v>3142</v>
      </c>
      <c r="C33" s="32">
        <v>0</v>
      </c>
      <c r="D33" s="32" t="s">
        <v>53</v>
      </c>
      <c r="E33" s="32" t="s">
        <v>53</v>
      </c>
      <c r="F33" s="32" t="str">
        <f t="shared" si="0"/>
        <v>0,0</v>
      </c>
      <c r="G33" s="32">
        <f t="shared" si="1"/>
        <v>0</v>
      </c>
      <c r="H33" s="32" t="s">
        <v>457</v>
      </c>
      <c r="I33" s="26"/>
      <c r="J33" s="26"/>
      <c r="K33" s="26"/>
      <c r="N33" s="32" t="s">
        <v>53</v>
      </c>
    </row>
    <row r="34" spans="1:14" s="5" customFormat="1" ht="12.95" customHeight="1" x14ac:dyDescent="0.2">
      <c r="A34" s="41" t="s">
        <v>116</v>
      </c>
      <c r="B34" s="50">
        <v>3143</v>
      </c>
      <c r="C34" s="32">
        <v>-112.6</v>
      </c>
      <c r="D34" s="32">
        <f>-'ІІ. Розр. з бюджетом'!D26</f>
        <v>-203.7</v>
      </c>
      <c r="E34" s="32" t="s">
        <v>53</v>
      </c>
      <c r="F34" s="32">
        <f t="shared" si="0"/>
        <v>-203.7</v>
      </c>
      <c r="G34" s="32">
        <f t="shared" si="1"/>
        <v>-203.7</v>
      </c>
      <c r="H34" s="32" t="s">
        <v>457</v>
      </c>
      <c r="I34" s="26"/>
      <c r="J34" s="26"/>
      <c r="K34" s="26"/>
      <c r="N34" s="32">
        <v>-43.9</v>
      </c>
    </row>
    <row r="35" spans="1:14" s="5" customFormat="1" ht="12.95" customHeight="1" x14ac:dyDescent="0.2">
      <c r="A35" s="41" t="s">
        <v>301</v>
      </c>
      <c r="B35" s="50">
        <v>3144</v>
      </c>
      <c r="C35" s="32" t="s">
        <v>53</v>
      </c>
      <c r="D35" s="32" t="s">
        <v>53</v>
      </c>
      <c r="E35" s="32" t="s">
        <v>53</v>
      </c>
      <c r="F35" s="32" t="str">
        <f t="shared" si="0"/>
        <v>0,0</v>
      </c>
      <c r="G35" s="32">
        <f t="shared" si="1"/>
        <v>0</v>
      </c>
      <c r="H35" s="32" t="s">
        <v>457</v>
      </c>
      <c r="I35" s="26"/>
      <c r="J35" s="26"/>
      <c r="K35" s="26"/>
      <c r="N35" s="32" t="s">
        <v>53</v>
      </c>
    </row>
    <row r="36" spans="1:14" s="5" customFormat="1" ht="12.95" customHeight="1" x14ac:dyDescent="0.2">
      <c r="A36" s="41" t="s">
        <v>269</v>
      </c>
      <c r="B36" s="50">
        <v>3145</v>
      </c>
      <c r="C36" s="32">
        <v>-20320.3</v>
      </c>
      <c r="D36" s="32">
        <f>-'ІІ. Розр. з бюджетом'!D30-'ІІ. Розр. з бюджетом'!D34</f>
        <v>-22107.4</v>
      </c>
      <c r="E36" s="32">
        <v>-17295</v>
      </c>
      <c r="F36" s="32">
        <f t="shared" si="0"/>
        <v>-22107.4</v>
      </c>
      <c r="G36" s="32">
        <f t="shared" si="1"/>
        <v>-4812.4000000000015</v>
      </c>
      <c r="H36" s="32">
        <f t="shared" si="4"/>
        <v>127.82538305868749</v>
      </c>
      <c r="I36" s="26"/>
      <c r="J36" s="26"/>
      <c r="K36" s="26"/>
      <c r="N36" s="32">
        <v>-9216.9</v>
      </c>
    </row>
    <row r="37" spans="1:14" s="5" customFormat="1" ht="12.95" customHeight="1" x14ac:dyDescent="0.2">
      <c r="A37" s="41" t="s">
        <v>302</v>
      </c>
      <c r="B37" s="50">
        <v>3146</v>
      </c>
      <c r="C37" s="32">
        <f>SUM(C38:C38)</f>
        <v>0</v>
      </c>
      <c r="D37" s="32">
        <f>SUM(D38:D38)</f>
        <v>0</v>
      </c>
      <c r="E37" s="32">
        <f>SUM(E38:E38)</f>
        <v>0</v>
      </c>
      <c r="F37" s="32">
        <f t="shared" si="0"/>
        <v>0</v>
      </c>
      <c r="G37" s="32">
        <f t="shared" si="1"/>
        <v>0</v>
      </c>
      <c r="H37" s="32" t="s">
        <v>457</v>
      </c>
      <c r="I37" s="26"/>
      <c r="J37" s="26"/>
      <c r="K37" s="26"/>
      <c r="N37" s="32">
        <v>0</v>
      </c>
    </row>
    <row r="38" spans="1:14" s="5" customFormat="1" ht="12.95" customHeight="1" x14ac:dyDescent="0.2">
      <c r="A38" s="41" t="s">
        <v>303</v>
      </c>
      <c r="B38" s="46" t="s">
        <v>304</v>
      </c>
      <c r="C38" s="4" t="s">
        <v>53</v>
      </c>
      <c r="D38" s="32" t="s">
        <v>53</v>
      </c>
      <c r="E38" s="32" t="s">
        <v>53</v>
      </c>
      <c r="F38" s="32" t="str">
        <f t="shared" si="0"/>
        <v>0,0</v>
      </c>
      <c r="G38" s="32">
        <f t="shared" si="1"/>
        <v>0</v>
      </c>
      <c r="H38" s="32" t="s">
        <v>457</v>
      </c>
      <c r="I38" s="26"/>
      <c r="J38" s="26"/>
      <c r="K38" s="26"/>
      <c r="N38" s="32" t="s">
        <v>53</v>
      </c>
    </row>
    <row r="39" spans="1:14" s="5" customFormat="1" ht="12.95" customHeight="1" x14ac:dyDescent="0.2">
      <c r="A39" s="41" t="s">
        <v>305</v>
      </c>
      <c r="B39" s="50">
        <v>3150</v>
      </c>
      <c r="C39" s="32">
        <f>SUM(C40:C45)</f>
        <v>-55066.1</v>
      </c>
      <c r="D39" s="32">
        <f>SUM(D40:D45)</f>
        <v>-41104.9</v>
      </c>
      <c r="E39" s="32">
        <f>SUM(E40:E45)</f>
        <v>-53540</v>
      </c>
      <c r="F39" s="32">
        <f t="shared" si="0"/>
        <v>-41104.9</v>
      </c>
      <c r="G39" s="32">
        <f t="shared" si="1"/>
        <v>12435.099999999999</v>
      </c>
      <c r="H39" s="32">
        <f t="shared" si="4"/>
        <v>76.774187523347038</v>
      </c>
      <c r="I39" s="26"/>
      <c r="J39" s="26"/>
      <c r="K39" s="26"/>
      <c r="N39" s="32">
        <v>-33085.699999999997</v>
      </c>
    </row>
    <row r="40" spans="1:14" s="5" customFormat="1" ht="12.95" customHeight="1" x14ac:dyDescent="0.2">
      <c r="A40" s="40" t="s">
        <v>512</v>
      </c>
      <c r="B40" s="46" t="s">
        <v>519</v>
      </c>
      <c r="C40" s="32">
        <v>-1743.3</v>
      </c>
      <c r="D40" s="32">
        <f>-'ІІ. Розр. з бюджетом'!D32</f>
        <v>-1841.5</v>
      </c>
      <c r="E40" s="32">
        <f>-'ІІ. Розр. з бюджетом'!E32</f>
        <v>-1440</v>
      </c>
      <c r="F40" s="32">
        <f t="shared" si="0"/>
        <v>-1841.5</v>
      </c>
      <c r="G40" s="32">
        <f t="shared" si="1"/>
        <v>-401.5</v>
      </c>
      <c r="H40" s="32">
        <f t="shared" si="4"/>
        <v>127.88194444444446</v>
      </c>
      <c r="I40" s="26"/>
      <c r="J40" s="26"/>
      <c r="K40" s="26"/>
      <c r="N40" s="32">
        <v>-767.4</v>
      </c>
    </row>
    <row r="41" spans="1:14" s="5" customFormat="1" ht="12.95" customHeight="1" x14ac:dyDescent="0.2">
      <c r="A41" s="43" t="s">
        <v>272</v>
      </c>
      <c r="B41" s="46" t="s">
        <v>520</v>
      </c>
      <c r="C41" s="32">
        <v>-7271.4</v>
      </c>
      <c r="D41" s="32">
        <f>-'ІІ. Розр. з бюджетом'!D35</f>
        <v>-8071.7</v>
      </c>
      <c r="E41" s="32">
        <f>-'ІІ. Розр. з бюджетом'!E35</f>
        <v>-6800</v>
      </c>
      <c r="F41" s="32">
        <f t="shared" si="0"/>
        <v>-8071.7</v>
      </c>
      <c r="G41" s="32">
        <f t="shared" si="1"/>
        <v>-1271.6999999999998</v>
      </c>
      <c r="H41" s="32">
        <f t="shared" si="4"/>
        <v>118.70147058823528</v>
      </c>
      <c r="I41" s="26"/>
      <c r="J41" s="26"/>
      <c r="K41" s="26"/>
      <c r="N41" s="32">
        <v>-4011.4</v>
      </c>
    </row>
    <row r="42" spans="1:14" s="5" customFormat="1" ht="12.95" customHeight="1" x14ac:dyDescent="0.2">
      <c r="A42" s="43" t="s">
        <v>274</v>
      </c>
      <c r="B42" s="46" t="s">
        <v>521</v>
      </c>
      <c r="C42" s="32">
        <v>-910.7</v>
      </c>
      <c r="D42" s="32">
        <f>-'ІІ. Розр. з бюджетом'!D38</f>
        <v>-1976.7</v>
      </c>
      <c r="E42" s="32">
        <f>-'ІІ. Розр. з бюджетом'!E38</f>
        <v>-540</v>
      </c>
      <c r="F42" s="32">
        <f t="shared" si="0"/>
        <v>-1976.7</v>
      </c>
      <c r="G42" s="32">
        <f t="shared" si="1"/>
        <v>-1436.7</v>
      </c>
      <c r="H42" s="32">
        <f t="shared" si="4"/>
        <v>366.0555555555556</v>
      </c>
      <c r="I42" s="26"/>
      <c r="J42" s="26"/>
      <c r="K42" s="26"/>
      <c r="N42" s="32">
        <v>-860.9</v>
      </c>
    </row>
    <row r="43" spans="1:14" s="5" customFormat="1" ht="12.95" customHeight="1" x14ac:dyDescent="0.2">
      <c r="A43" s="43" t="s">
        <v>518</v>
      </c>
      <c r="B43" s="46" t="s">
        <v>522</v>
      </c>
      <c r="C43" s="32">
        <v>-27476</v>
      </c>
      <c r="D43" s="32">
        <v>-27647</v>
      </c>
      <c r="E43" s="32">
        <f>-'ІІ. Розр. з бюджетом'!E43</f>
        <v>-21140</v>
      </c>
      <c r="F43" s="32">
        <f t="shared" si="0"/>
        <v>-27647</v>
      </c>
      <c r="G43" s="32">
        <f t="shared" si="1"/>
        <v>-6507</v>
      </c>
      <c r="H43" s="32">
        <f t="shared" si="4"/>
        <v>130.78051087984863</v>
      </c>
      <c r="I43" s="26"/>
      <c r="J43" s="26"/>
      <c r="K43" s="26"/>
      <c r="N43" s="32">
        <v>-12038.6</v>
      </c>
    </row>
    <row r="44" spans="1:14" s="5" customFormat="1" ht="41.25" customHeight="1" x14ac:dyDescent="0.2">
      <c r="A44" s="40" t="s">
        <v>523</v>
      </c>
      <c r="B44" s="46" t="s">
        <v>524</v>
      </c>
      <c r="C44" s="32">
        <v>-17201</v>
      </c>
      <c r="D44" s="32">
        <v>0</v>
      </c>
      <c r="E44" s="32">
        <f>-'ІІ. Розр. з бюджетом'!E41</f>
        <v>-22395</v>
      </c>
      <c r="F44" s="32">
        <f t="shared" si="0"/>
        <v>0</v>
      </c>
      <c r="G44" s="32">
        <f t="shared" si="1"/>
        <v>22395</v>
      </c>
      <c r="H44" s="32">
        <f t="shared" si="4"/>
        <v>0</v>
      </c>
      <c r="I44" s="26"/>
      <c r="J44" s="26"/>
      <c r="K44" s="26"/>
      <c r="N44" s="32">
        <v>-15042.8</v>
      </c>
    </row>
    <row r="45" spans="1:14" s="5" customFormat="1" ht="16.5" customHeight="1" x14ac:dyDescent="0.2">
      <c r="A45" s="40" t="s">
        <v>535</v>
      </c>
      <c r="B45" s="46" t="s">
        <v>534</v>
      </c>
      <c r="C45" s="32">
        <v>-463.7</v>
      </c>
      <c r="D45" s="32">
        <f>-81153+79585</f>
        <v>-1568</v>
      </c>
      <c r="E45" s="32">
        <f>704635-705860</f>
        <v>-1225</v>
      </c>
      <c r="F45" s="32">
        <f t="shared" si="0"/>
        <v>-1568</v>
      </c>
      <c r="G45" s="32">
        <f>F45-E45</f>
        <v>-343</v>
      </c>
      <c r="H45" s="32">
        <f t="shared" si="4"/>
        <v>128</v>
      </c>
      <c r="I45" s="26"/>
      <c r="J45" s="26"/>
      <c r="K45" s="26"/>
      <c r="N45" s="32">
        <v>-364.6</v>
      </c>
    </row>
    <row r="46" spans="1:14" s="5" customFormat="1" ht="12.95" customHeight="1" x14ac:dyDescent="0.2">
      <c r="A46" s="41" t="s">
        <v>307</v>
      </c>
      <c r="B46" s="50">
        <v>3160</v>
      </c>
      <c r="C46" s="32" t="s">
        <v>53</v>
      </c>
      <c r="D46" s="32" t="s">
        <v>53</v>
      </c>
      <c r="E46" s="32" t="s">
        <v>53</v>
      </c>
      <c r="F46" s="32" t="str">
        <f t="shared" si="0"/>
        <v>0,0</v>
      </c>
      <c r="G46" s="32">
        <f t="shared" si="1"/>
        <v>0</v>
      </c>
      <c r="H46" s="32" t="s">
        <v>457</v>
      </c>
      <c r="I46" s="26"/>
      <c r="J46" s="26"/>
      <c r="K46" s="26"/>
      <c r="N46" s="32" t="s">
        <v>53</v>
      </c>
    </row>
    <row r="47" spans="1:14" s="5" customFormat="1" ht="12.95" customHeight="1" x14ac:dyDescent="0.2">
      <c r="A47" s="41" t="s">
        <v>308</v>
      </c>
      <c r="B47" s="50">
        <v>3170</v>
      </c>
      <c r="C47" s="32">
        <f>SUM(C49:C49)</f>
        <v>-83662</v>
      </c>
      <c r="D47" s="32">
        <f>D48+D49</f>
        <v>-94358</v>
      </c>
      <c r="E47" s="32">
        <f>E48+E49</f>
        <v>-2910</v>
      </c>
      <c r="F47" s="32">
        <f t="shared" si="0"/>
        <v>-94358</v>
      </c>
      <c r="G47" s="32">
        <f t="shared" si="1"/>
        <v>-91448</v>
      </c>
      <c r="H47" s="32">
        <f t="shared" si="4"/>
        <v>3242.5429553264607</v>
      </c>
      <c r="I47" s="26"/>
      <c r="J47" s="26"/>
      <c r="K47" s="26"/>
      <c r="N47" s="32">
        <v>-153</v>
      </c>
    </row>
    <row r="48" spans="1:14" s="5" customFormat="1" ht="12.95" customHeight="1" x14ac:dyDescent="0.2">
      <c r="A48" s="41" t="s">
        <v>547</v>
      </c>
      <c r="B48" s="46" t="s">
        <v>558</v>
      </c>
      <c r="C48" s="32">
        <v>0</v>
      </c>
      <c r="D48" s="32">
        <v>0</v>
      </c>
      <c r="E48" s="32">
        <v>-2910</v>
      </c>
      <c r="F48" s="32">
        <f t="shared" si="0"/>
        <v>0</v>
      </c>
      <c r="G48" s="32">
        <f>F48-E48</f>
        <v>2910</v>
      </c>
      <c r="H48" s="32">
        <f t="shared" si="4"/>
        <v>0</v>
      </c>
      <c r="I48" s="26"/>
      <c r="J48" s="26"/>
      <c r="K48" s="26"/>
      <c r="N48" s="32">
        <v>-153</v>
      </c>
    </row>
    <row r="49" spans="1:14" s="5" customFormat="1" ht="12.95" customHeight="1" x14ac:dyDescent="0.2">
      <c r="A49" s="40" t="s">
        <v>245</v>
      </c>
      <c r="B49" s="46" t="s">
        <v>548</v>
      </c>
      <c r="C49" s="32">
        <v>-83662</v>
      </c>
      <c r="D49" s="32">
        <f>-34965-59393</f>
        <v>-94358</v>
      </c>
      <c r="E49" s="32" t="s">
        <v>53</v>
      </c>
      <c r="F49" s="32">
        <f t="shared" si="0"/>
        <v>-94358</v>
      </c>
      <c r="G49" s="32">
        <f t="shared" si="1"/>
        <v>-94358</v>
      </c>
      <c r="H49" s="32" t="s">
        <v>457</v>
      </c>
      <c r="I49" s="26"/>
      <c r="J49" s="26"/>
      <c r="K49" s="26"/>
      <c r="N49" s="32">
        <v>0</v>
      </c>
    </row>
    <row r="50" spans="1:14" s="5" customFormat="1" ht="12.95" customHeight="1" x14ac:dyDescent="0.2">
      <c r="A50" s="45" t="s">
        <v>128</v>
      </c>
      <c r="B50" s="10">
        <v>3195</v>
      </c>
      <c r="C50" s="35">
        <f>SUM(C7,C24)</f>
        <v>-5884</v>
      </c>
      <c r="D50" s="35">
        <f>SUM(D7,D24)</f>
        <v>13743</v>
      </c>
      <c r="E50" s="35">
        <f>SUM(E7,E24)</f>
        <v>24695</v>
      </c>
      <c r="F50" s="35">
        <f t="shared" si="0"/>
        <v>13743</v>
      </c>
      <c r="G50" s="35">
        <f>F50-E50</f>
        <v>-10952</v>
      </c>
      <c r="H50" s="32">
        <f t="shared" si="4"/>
        <v>55.650941486130797</v>
      </c>
      <c r="I50" s="26"/>
      <c r="J50" s="26"/>
      <c r="K50" s="26"/>
      <c r="N50" s="35">
        <v>-5472.6000000000931</v>
      </c>
    </row>
    <row r="51" spans="1:14" s="5" customFormat="1" ht="12.95" customHeight="1" x14ac:dyDescent="0.2">
      <c r="A51" s="102" t="s">
        <v>309</v>
      </c>
      <c r="B51" s="102"/>
      <c r="C51" s="102"/>
      <c r="D51" s="102"/>
      <c r="E51" s="102"/>
      <c r="F51" s="102"/>
      <c r="G51" s="102"/>
      <c r="H51" s="102"/>
      <c r="I51" s="26"/>
      <c r="J51" s="26"/>
      <c r="K51" s="26"/>
    </row>
    <row r="52" spans="1:14" s="5" customFormat="1" ht="12.95" customHeight="1" x14ac:dyDescent="0.2">
      <c r="A52" s="45" t="s">
        <v>310</v>
      </c>
      <c r="B52" s="10">
        <v>3200</v>
      </c>
      <c r="C52" s="35">
        <f>SUM(C53:C56)</f>
        <v>7454</v>
      </c>
      <c r="D52" s="35">
        <f>SUM(D53:D56)</f>
        <v>20417</v>
      </c>
      <c r="E52" s="35">
        <f>SUM(E53:E56)</f>
        <v>0</v>
      </c>
      <c r="F52" s="35">
        <f>D52</f>
        <v>20417</v>
      </c>
      <c r="G52" s="35">
        <f>F52-E52</f>
        <v>20417</v>
      </c>
      <c r="H52" s="35" t="s">
        <v>457</v>
      </c>
      <c r="I52" s="26"/>
      <c r="J52" s="26"/>
      <c r="K52" s="26"/>
      <c r="N52" s="32">
        <v>8918.6</v>
      </c>
    </row>
    <row r="53" spans="1:14" s="5" customFormat="1" ht="12.95" customHeight="1" x14ac:dyDescent="0.2">
      <c r="A53" s="41" t="s">
        <v>311</v>
      </c>
      <c r="B53" s="50">
        <v>3210</v>
      </c>
      <c r="C53" s="32" t="s">
        <v>53</v>
      </c>
      <c r="D53" s="32" t="s">
        <v>53</v>
      </c>
      <c r="E53" s="32" t="s">
        <v>53</v>
      </c>
      <c r="F53" s="32" t="str">
        <f t="shared" ref="F53:F78" si="5">D53</f>
        <v>0,0</v>
      </c>
      <c r="G53" s="32">
        <f t="shared" ref="G53:G78" si="6">F53-E53</f>
        <v>0</v>
      </c>
      <c r="H53" s="35" t="s">
        <v>457</v>
      </c>
      <c r="I53" s="26"/>
      <c r="J53" s="26"/>
      <c r="K53" s="26"/>
      <c r="N53" s="32" t="s">
        <v>53</v>
      </c>
    </row>
    <row r="54" spans="1:14" s="5" customFormat="1" ht="12.95" customHeight="1" x14ac:dyDescent="0.2">
      <c r="A54" s="41" t="s">
        <v>312</v>
      </c>
      <c r="B54" s="50">
        <v>3220</v>
      </c>
      <c r="C54" s="32">
        <v>0</v>
      </c>
      <c r="D54" s="32">
        <v>6498</v>
      </c>
      <c r="E54" s="32">
        <v>0</v>
      </c>
      <c r="F54" s="32">
        <f t="shared" si="5"/>
        <v>6498</v>
      </c>
      <c r="G54" s="32">
        <f t="shared" si="6"/>
        <v>6498</v>
      </c>
      <c r="H54" s="35" t="s">
        <v>457</v>
      </c>
      <c r="I54" s="26"/>
      <c r="J54" s="26"/>
      <c r="K54" s="26"/>
      <c r="N54" s="32">
        <v>8918.6</v>
      </c>
    </row>
    <row r="55" spans="1:14" s="5" customFormat="1" ht="12.95" customHeight="1" x14ac:dyDescent="0.2">
      <c r="A55" s="41" t="s">
        <v>313</v>
      </c>
      <c r="B55" s="50">
        <v>3230</v>
      </c>
      <c r="C55" s="32" t="s">
        <v>53</v>
      </c>
      <c r="D55" s="32" t="s">
        <v>53</v>
      </c>
      <c r="E55" s="32" t="s">
        <v>53</v>
      </c>
      <c r="F55" s="32" t="str">
        <f t="shared" si="5"/>
        <v>0,0</v>
      </c>
      <c r="G55" s="32">
        <f t="shared" si="6"/>
        <v>0</v>
      </c>
      <c r="H55" s="35" t="s">
        <v>457</v>
      </c>
      <c r="I55" s="26"/>
      <c r="J55" s="26"/>
      <c r="K55" s="26"/>
      <c r="N55" s="32" t="s">
        <v>53</v>
      </c>
    </row>
    <row r="56" spans="1:14" s="5" customFormat="1" ht="12.95" customHeight="1" x14ac:dyDescent="0.2">
      <c r="A56" s="41" t="s">
        <v>293</v>
      </c>
      <c r="B56" s="50">
        <v>3240</v>
      </c>
      <c r="C56" s="32">
        <f>SUM(C57:C59)</f>
        <v>7454</v>
      </c>
      <c r="D56" s="32">
        <f>SUM(D57:D59)</f>
        <v>13919</v>
      </c>
      <c r="E56" s="32">
        <f>SUM(E57:E59)</f>
        <v>0</v>
      </c>
      <c r="F56" s="32">
        <f t="shared" si="5"/>
        <v>13919</v>
      </c>
      <c r="G56" s="32">
        <f t="shared" si="6"/>
        <v>13919</v>
      </c>
      <c r="H56" s="35" t="s">
        <v>457</v>
      </c>
      <c r="I56" s="26"/>
      <c r="J56" s="26"/>
      <c r="K56" s="26"/>
      <c r="N56" s="32">
        <v>0</v>
      </c>
    </row>
    <row r="57" spans="1:14" s="5" customFormat="1" ht="12.95" customHeight="1" x14ac:dyDescent="0.2">
      <c r="A57" s="40" t="s">
        <v>536</v>
      </c>
      <c r="B57" s="46" t="s">
        <v>532</v>
      </c>
      <c r="C57" s="32">
        <v>7454</v>
      </c>
      <c r="D57" s="32">
        <v>13919</v>
      </c>
      <c r="E57" s="32" t="s">
        <v>53</v>
      </c>
      <c r="F57" s="32">
        <f t="shared" si="5"/>
        <v>13919</v>
      </c>
      <c r="G57" s="32">
        <f t="shared" si="6"/>
        <v>13919</v>
      </c>
      <c r="H57" s="35" t="s">
        <v>457</v>
      </c>
      <c r="I57" s="26"/>
      <c r="J57" s="26"/>
      <c r="K57" s="26"/>
      <c r="N57" s="32">
        <v>0</v>
      </c>
    </row>
    <row r="58" spans="1:14" s="5" customFormat="1" ht="12.95" hidden="1" customHeight="1" x14ac:dyDescent="0.2">
      <c r="A58" s="43"/>
      <c r="B58" s="46"/>
      <c r="C58" s="32" t="s">
        <v>53</v>
      </c>
      <c r="D58" s="32" t="s">
        <v>53</v>
      </c>
      <c r="E58" s="32" t="s">
        <v>53</v>
      </c>
      <c r="F58" s="32" t="str">
        <f t="shared" si="5"/>
        <v>0,0</v>
      </c>
      <c r="G58" s="32">
        <f t="shared" si="6"/>
        <v>0</v>
      </c>
      <c r="H58" s="32" t="e">
        <f t="shared" ref="H58:H77" si="7">F58/E58*100</f>
        <v>#DIV/0!</v>
      </c>
      <c r="I58" s="26"/>
      <c r="J58" s="26"/>
      <c r="K58" s="26"/>
      <c r="N58" s="32" t="s">
        <v>53</v>
      </c>
    </row>
    <row r="59" spans="1:14" s="5" customFormat="1" ht="12.95" hidden="1" customHeight="1" x14ac:dyDescent="0.2">
      <c r="A59" s="43"/>
      <c r="B59" s="46"/>
      <c r="C59" s="32" t="s">
        <v>53</v>
      </c>
      <c r="D59" s="32" t="s">
        <v>53</v>
      </c>
      <c r="E59" s="32" t="s">
        <v>53</v>
      </c>
      <c r="F59" s="32" t="str">
        <f t="shared" si="5"/>
        <v>0,0</v>
      </c>
      <c r="G59" s="32">
        <f t="shared" si="6"/>
        <v>0</v>
      </c>
      <c r="H59" s="32" t="e">
        <f t="shared" si="7"/>
        <v>#DIV/0!</v>
      </c>
      <c r="I59" s="26"/>
      <c r="J59" s="26"/>
      <c r="K59" s="26"/>
      <c r="N59" s="32" t="s">
        <v>53</v>
      </c>
    </row>
    <row r="60" spans="1:14" s="5" customFormat="1" ht="12.95" customHeight="1" x14ac:dyDescent="0.2">
      <c r="A60" s="45" t="s">
        <v>314</v>
      </c>
      <c r="B60" s="10">
        <v>3255</v>
      </c>
      <c r="C60" s="35">
        <f>C61+C65+C69+C73+C74</f>
        <v>0</v>
      </c>
      <c r="D60" s="35">
        <f>D61+D65+D69+D73+D74</f>
        <v>-10546</v>
      </c>
      <c r="E60" s="35">
        <f>E61+E65+E69+E73+E74</f>
        <v>-24225</v>
      </c>
      <c r="F60" s="35">
        <f t="shared" si="5"/>
        <v>-10546</v>
      </c>
      <c r="G60" s="35">
        <f t="shared" si="6"/>
        <v>13679</v>
      </c>
      <c r="H60" s="35">
        <f t="shared" si="7"/>
        <v>43.533539731682147</v>
      </c>
      <c r="I60" s="26"/>
      <c r="J60" s="26"/>
      <c r="K60" s="26"/>
      <c r="N60" s="32">
        <v>0</v>
      </c>
    </row>
    <row r="61" spans="1:14" s="5" customFormat="1" ht="12.95" customHeight="1" x14ac:dyDescent="0.2">
      <c r="A61" s="41" t="s">
        <v>315</v>
      </c>
      <c r="B61" s="50">
        <v>3260</v>
      </c>
      <c r="C61" s="32">
        <v>0</v>
      </c>
      <c r="D61" s="32">
        <f>SUM(D62:D64)</f>
        <v>-10546</v>
      </c>
      <c r="E61" s="32">
        <f>SUM(E62:E64)</f>
        <v>-7460</v>
      </c>
      <c r="F61" s="32">
        <f t="shared" si="5"/>
        <v>-10546</v>
      </c>
      <c r="G61" s="32">
        <f t="shared" si="6"/>
        <v>-3086</v>
      </c>
      <c r="H61" s="32">
        <f t="shared" si="7"/>
        <v>141.36729222520108</v>
      </c>
      <c r="I61" s="26"/>
      <c r="J61" s="26"/>
      <c r="K61" s="26"/>
      <c r="N61" s="32">
        <v>0</v>
      </c>
    </row>
    <row r="62" spans="1:14" s="5" customFormat="1" ht="12.95" customHeight="1" x14ac:dyDescent="0.2">
      <c r="A62" s="43" t="s">
        <v>316</v>
      </c>
      <c r="B62" s="46" t="s">
        <v>527</v>
      </c>
      <c r="C62" s="32">
        <v>0</v>
      </c>
      <c r="D62" s="32">
        <v>-10546</v>
      </c>
      <c r="E62" s="32">
        <v>-7460</v>
      </c>
      <c r="F62" s="32">
        <f t="shared" si="5"/>
        <v>-10546</v>
      </c>
      <c r="G62" s="32">
        <f t="shared" si="6"/>
        <v>-3086</v>
      </c>
      <c r="H62" s="32">
        <f t="shared" si="7"/>
        <v>141.36729222520108</v>
      </c>
      <c r="I62" s="26"/>
      <c r="J62" s="26"/>
      <c r="K62" s="26"/>
      <c r="N62" s="32">
        <v>0</v>
      </c>
    </row>
    <row r="63" spans="1:14" s="5" customFormat="1" ht="12.95" hidden="1" customHeight="1" x14ac:dyDescent="0.2">
      <c r="A63" s="43"/>
      <c r="B63" s="46"/>
      <c r="C63" s="32" t="s">
        <v>53</v>
      </c>
      <c r="D63" s="32" t="s">
        <v>53</v>
      </c>
      <c r="E63" s="32" t="s">
        <v>53</v>
      </c>
      <c r="F63" s="32" t="str">
        <f t="shared" si="5"/>
        <v>0,0</v>
      </c>
      <c r="G63" s="32">
        <f t="shared" si="6"/>
        <v>0</v>
      </c>
      <c r="H63" s="32" t="e">
        <f t="shared" si="7"/>
        <v>#DIV/0!</v>
      </c>
      <c r="I63" s="26"/>
      <c r="J63" s="26"/>
      <c r="K63" s="26"/>
      <c r="N63" s="32" t="s">
        <v>53</v>
      </c>
    </row>
    <row r="64" spans="1:14" s="5" customFormat="1" ht="12.95" hidden="1" customHeight="1" x14ac:dyDescent="0.2">
      <c r="A64" s="43"/>
      <c r="B64" s="46"/>
      <c r="C64" s="32" t="s">
        <v>53</v>
      </c>
      <c r="D64" s="32" t="s">
        <v>53</v>
      </c>
      <c r="E64" s="32" t="s">
        <v>53</v>
      </c>
      <c r="F64" s="32" t="str">
        <f t="shared" si="5"/>
        <v>0,0</v>
      </c>
      <c r="G64" s="32">
        <f t="shared" si="6"/>
        <v>0</v>
      </c>
      <c r="H64" s="32" t="e">
        <f t="shared" si="7"/>
        <v>#DIV/0!</v>
      </c>
      <c r="I64" s="26"/>
      <c r="J64" s="26"/>
      <c r="K64" s="26"/>
      <c r="N64" s="32" t="s">
        <v>53</v>
      </c>
    </row>
    <row r="65" spans="1:14" s="5" customFormat="1" ht="12.95" customHeight="1" x14ac:dyDescent="0.2">
      <c r="A65" s="41" t="s">
        <v>317</v>
      </c>
      <c r="B65" s="50">
        <v>3265</v>
      </c>
      <c r="C65" s="32">
        <f>SUM(C66:C68)</f>
        <v>0</v>
      </c>
      <c r="D65" s="32">
        <f>SUM(D66:D68)</f>
        <v>0</v>
      </c>
      <c r="E65" s="32">
        <f>SUM(E66:E68)</f>
        <v>-5000</v>
      </c>
      <c r="F65" s="32">
        <f t="shared" si="5"/>
        <v>0</v>
      </c>
      <c r="G65" s="32">
        <f t="shared" si="6"/>
        <v>5000</v>
      </c>
      <c r="H65" s="32">
        <f t="shared" si="7"/>
        <v>0</v>
      </c>
      <c r="I65" s="26"/>
      <c r="J65" s="26"/>
      <c r="K65" s="26"/>
      <c r="N65" s="32">
        <v>0</v>
      </c>
    </row>
    <row r="66" spans="1:14" s="5" customFormat="1" ht="12.95" customHeight="1" x14ac:dyDescent="0.2">
      <c r="A66" s="43" t="s">
        <v>318</v>
      </c>
      <c r="B66" s="46" t="s">
        <v>528</v>
      </c>
      <c r="C66" s="32" t="s">
        <v>53</v>
      </c>
      <c r="D66" s="32">
        <v>0</v>
      </c>
      <c r="E66" s="32">
        <v>-5000</v>
      </c>
      <c r="F66" s="32">
        <f t="shared" si="5"/>
        <v>0</v>
      </c>
      <c r="G66" s="32">
        <f t="shared" si="6"/>
        <v>5000</v>
      </c>
      <c r="H66" s="32">
        <f t="shared" si="7"/>
        <v>0</v>
      </c>
      <c r="I66" s="26"/>
      <c r="J66" s="26"/>
      <c r="K66" s="26"/>
      <c r="N66" s="32" t="s">
        <v>53</v>
      </c>
    </row>
    <row r="67" spans="1:14" s="5" customFormat="1" ht="12.95" hidden="1" customHeight="1" x14ac:dyDescent="0.2">
      <c r="A67" s="43"/>
      <c r="B67" s="46"/>
      <c r="C67" s="32" t="s">
        <v>53</v>
      </c>
      <c r="D67" s="32" t="s">
        <v>53</v>
      </c>
      <c r="E67" s="32" t="s">
        <v>53</v>
      </c>
      <c r="F67" s="32" t="str">
        <f t="shared" si="5"/>
        <v>0,0</v>
      </c>
      <c r="G67" s="32">
        <f t="shared" si="6"/>
        <v>0</v>
      </c>
      <c r="H67" s="32" t="e">
        <f t="shared" si="7"/>
        <v>#DIV/0!</v>
      </c>
      <c r="I67" s="26"/>
      <c r="J67" s="26"/>
      <c r="K67" s="26"/>
      <c r="N67" s="32" t="s">
        <v>53</v>
      </c>
    </row>
    <row r="68" spans="1:14" s="5" customFormat="1" ht="12.95" hidden="1" customHeight="1" x14ac:dyDescent="0.2">
      <c r="A68" s="43"/>
      <c r="B68" s="46"/>
      <c r="C68" s="32" t="s">
        <v>53</v>
      </c>
      <c r="D68" s="32" t="s">
        <v>53</v>
      </c>
      <c r="E68" s="32" t="s">
        <v>53</v>
      </c>
      <c r="F68" s="32" t="str">
        <f t="shared" si="5"/>
        <v>0,0</v>
      </c>
      <c r="G68" s="32">
        <f t="shared" si="6"/>
        <v>0</v>
      </c>
      <c r="H68" s="32" t="e">
        <f t="shared" si="7"/>
        <v>#DIV/0!</v>
      </c>
      <c r="I68" s="26"/>
      <c r="J68" s="26"/>
      <c r="K68" s="26"/>
      <c r="N68" s="32" t="s">
        <v>53</v>
      </c>
    </row>
    <row r="69" spans="1:14" s="5" customFormat="1" ht="12.95" customHeight="1" x14ac:dyDescent="0.2">
      <c r="A69" s="41" t="s">
        <v>319</v>
      </c>
      <c r="B69" s="50">
        <v>3270</v>
      </c>
      <c r="C69" s="32">
        <f>SUM(C70:C72)</f>
        <v>0</v>
      </c>
      <c r="D69" s="32">
        <f>SUM(D70:D72)</f>
        <v>0</v>
      </c>
      <c r="E69" s="32">
        <f>SUM(E70:E72)</f>
        <v>-4205</v>
      </c>
      <c r="F69" s="32">
        <f t="shared" si="5"/>
        <v>0</v>
      </c>
      <c r="G69" s="32">
        <f t="shared" si="6"/>
        <v>4205</v>
      </c>
      <c r="H69" s="32">
        <f t="shared" si="7"/>
        <v>0</v>
      </c>
      <c r="I69" s="26"/>
      <c r="J69" s="26"/>
      <c r="K69" s="26"/>
      <c r="N69" s="32">
        <v>0</v>
      </c>
    </row>
    <row r="70" spans="1:14" s="5" customFormat="1" ht="12.95" customHeight="1" x14ac:dyDescent="0.2">
      <c r="A70" s="43" t="s">
        <v>320</v>
      </c>
      <c r="B70" s="46" t="s">
        <v>529</v>
      </c>
      <c r="C70" s="32">
        <v>0</v>
      </c>
      <c r="D70" s="32">
        <v>0</v>
      </c>
      <c r="E70" s="32">
        <v>-4205</v>
      </c>
      <c r="F70" s="32">
        <f t="shared" si="5"/>
        <v>0</v>
      </c>
      <c r="G70" s="32">
        <f t="shared" si="6"/>
        <v>4205</v>
      </c>
      <c r="H70" s="32">
        <f t="shared" si="7"/>
        <v>0</v>
      </c>
      <c r="I70" s="26"/>
      <c r="J70" s="26"/>
      <c r="K70" s="26"/>
      <c r="N70" s="32">
        <v>0</v>
      </c>
    </row>
    <row r="71" spans="1:14" s="5" customFormat="1" ht="12.95" hidden="1" customHeight="1" x14ac:dyDescent="0.2">
      <c r="A71" s="43"/>
      <c r="B71" s="46"/>
      <c r="C71" s="32" t="s">
        <v>53</v>
      </c>
      <c r="D71" s="32" t="s">
        <v>53</v>
      </c>
      <c r="E71" s="32" t="s">
        <v>53</v>
      </c>
      <c r="F71" s="32" t="str">
        <f t="shared" si="5"/>
        <v>0,0</v>
      </c>
      <c r="G71" s="32">
        <f t="shared" si="6"/>
        <v>0</v>
      </c>
      <c r="H71" s="32" t="e">
        <f t="shared" si="7"/>
        <v>#DIV/0!</v>
      </c>
      <c r="I71" s="26"/>
      <c r="J71" s="26"/>
      <c r="K71" s="26"/>
      <c r="N71" s="32" t="s">
        <v>53</v>
      </c>
    </row>
    <row r="72" spans="1:14" s="5" customFormat="1" ht="12.95" hidden="1" customHeight="1" x14ac:dyDescent="0.2">
      <c r="A72" s="43"/>
      <c r="B72" s="46"/>
      <c r="C72" s="32" t="s">
        <v>53</v>
      </c>
      <c r="D72" s="32" t="s">
        <v>53</v>
      </c>
      <c r="E72" s="32" t="s">
        <v>53</v>
      </c>
      <c r="F72" s="32" t="str">
        <f t="shared" si="5"/>
        <v>0,0</v>
      </c>
      <c r="G72" s="32">
        <f t="shared" si="6"/>
        <v>0</v>
      </c>
      <c r="H72" s="32" t="e">
        <f t="shared" si="7"/>
        <v>#DIV/0!</v>
      </c>
      <c r="I72" s="26"/>
      <c r="J72" s="26"/>
      <c r="K72" s="26"/>
      <c r="N72" s="32" t="s">
        <v>53</v>
      </c>
    </row>
    <row r="73" spans="1:14" s="5" customFormat="1" ht="12.95" customHeight="1" x14ac:dyDescent="0.2">
      <c r="A73" s="41" t="s">
        <v>321</v>
      </c>
      <c r="B73" s="50">
        <v>3275</v>
      </c>
      <c r="C73" s="32" t="s">
        <v>53</v>
      </c>
      <c r="D73" s="32" t="s">
        <v>53</v>
      </c>
      <c r="E73" s="32" t="s">
        <v>53</v>
      </c>
      <c r="F73" s="32" t="str">
        <f t="shared" si="5"/>
        <v>0,0</v>
      </c>
      <c r="G73" s="32">
        <f t="shared" si="6"/>
        <v>0</v>
      </c>
      <c r="H73" s="32">
        <v>0</v>
      </c>
      <c r="I73" s="26"/>
      <c r="J73" s="26"/>
      <c r="K73" s="26"/>
      <c r="N73" s="32" t="s">
        <v>53</v>
      </c>
    </row>
    <row r="74" spans="1:14" s="5" customFormat="1" ht="12.95" customHeight="1" x14ac:dyDescent="0.2">
      <c r="A74" s="41" t="s">
        <v>308</v>
      </c>
      <c r="B74" s="50">
        <v>3280</v>
      </c>
      <c r="C74" s="32">
        <f>SUM(C75:C77)</f>
        <v>0</v>
      </c>
      <c r="D74" s="32">
        <f>SUM(D75:D77)</f>
        <v>0</v>
      </c>
      <c r="E74" s="32">
        <f>SUM(E75:E77)</f>
        <v>-7560</v>
      </c>
      <c r="F74" s="32">
        <f t="shared" si="5"/>
        <v>0</v>
      </c>
      <c r="G74" s="32">
        <f t="shared" si="6"/>
        <v>7560</v>
      </c>
      <c r="H74" s="32">
        <f t="shared" si="7"/>
        <v>0</v>
      </c>
      <c r="I74" s="26"/>
      <c r="J74" s="26"/>
      <c r="K74" s="26"/>
      <c r="N74" s="32">
        <v>0</v>
      </c>
    </row>
    <row r="75" spans="1:14" s="5" customFormat="1" ht="12.95" customHeight="1" x14ac:dyDescent="0.2">
      <c r="A75" s="43" t="s">
        <v>198</v>
      </c>
      <c r="B75" s="46" t="s">
        <v>530</v>
      </c>
      <c r="C75" s="32">
        <v>0</v>
      </c>
      <c r="D75" s="32">
        <v>0</v>
      </c>
      <c r="E75" s="32">
        <v>-7560</v>
      </c>
      <c r="F75" s="32">
        <f t="shared" si="5"/>
        <v>0</v>
      </c>
      <c r="G75" s="32">
        <f t="shared" si="6"/>
        <v>7560</v>
      </c>
      <c r="H75" s="32">
        <f t="shared" si="7"/>
        <v>0</v>
      </c>
      <c r="I75" s="26"/>
      <c r="J75" s="26"/>
      <c r="K75" s="26"/>
      <c r="N75" s="32" t="s">
        <v>53</v>
      </c>
    </row>
    <row r="76" spans="1:14" s="5" customFormat="1" ht="12.95" hidden="1" customHeight="1" x14ac:dyDescent="0.2">
      <c r="A76" s="43"/>
      <c r="B76" s="46"/>
      <c r="C76" s="32" t="s">
        <v>53</v>
      </c>
      <c r="D76" s="32" t="s">
        <v>53</v>
      </c>
      <c r="E76" s="32" t="s">
        <v>53</v>
      </c>
      <c r="F76" s="32" t="str">
        <f t="shared" si="5"/>
        <v>0,0</v>
      </c>
      <c r="G76" s="32">
        <f t="shared" si="6"/>
        <v>0</v>
      </c>
      <c r="H76" s="32" t="e">
        <f t="shared" si="7"/>
        <v>#DIV/0!</v>
      </c>
      <c r="I76" s="26"/>
      <c r="J76" s="26"/>
      <c r="K76" s="26"/>
      <c r="N76" s="32" t="s">
        <v>53</v>
      </c>
    </row>
    <row r="77" spans="1:14" s="5" customFormat="1" ht="12.95" hidden="1" customHeight="1" x14ac:dyDescent="0.2">
      <c r="A77" s="43"/>
      <c r="B77" s="46"/>
      <c r="C77" s="32" t="s">
        <v>53</v>
      </c>
      <c r="D77" s="32" t="s">
        <v>53</v>
      </c>
      <c r="E77" s="32" t="s">
        <v>53</v>
      </c>
      <c r="F77" s="32" t="str">
        <f t="shared" si="5"/>
        <v>0,0</v>
      </c>
      <c r="G77" s="32">
        <f t="shared" si="6"/>
        <v>0</v>
      </c>
      <c r="H77" s="32" t="e">
        <f t="shared" si="7"/>
        <v>#DIV/0!</v>
      </c>
      <c r="I77" s="26"/>
      <c r="J77" s="26"/>
      <c r="K77" s="26"/>
      <c r="N77" s="32" t="s">
        <v>53</v>
      </c>
    </row>
    <row r="78" spans="1:14" s="5" customFormat="1" ht="12.95" customHeight="1" x14ac:dyDescent="0.2">
      <c r="A78" s="45" t="s">
        <v>129</v>
      </c>
      <c r="B78" s="10">
        <v>3295</v>
      </c>
      <c r="C78" s="35">
        <f>SUM(C52,C60)</f>
        <v>7454</v>
      </c>
      <c r="D78" s="35">
        <f>SUM(D52,D60)</f>
        <v>9871</v>
      </c>
      <c r="E78" s="35">
        <f>SUM(E52,E60)</f>
        <v>-24225</v>
      </c>
      <c r="F78" s="35">
        <f t="shared" si="5"/>
        <v>9871</v>
      </c>
      <c r="G78" s="35">
        <f t="shared" si="6"/>
        <v>34096</v>
      </c>
      <c r="H78" s="35" t="s">
        <v>457</v>
      </c>
      <c r="I78" s="26"/>
      <c r="J78" s="26"/>
      <c r="K78" s="26"/>
      <c r="N78" s="32">
        <v>8918.6</v>
      </c>
    </row>
    <row r="79" spans="1:14" s="5" customFormat="1" ht="12.95" customHeight="1" x14ac:dyDescent="0.2">
      <c r="A79" s="102" t="s">
        <v>322</v>
      </c>
      <c r="B79" s="102"/>
      <c r="C79" s="102"/>
      <c r="D79" s="102"/>
      <c r="E79" s="102"/>
      <c r="F79" s="102"/>
      <c r="G79" s="102"/>
      <c r="H79" s="102"/>
      <c r="I79" s="26"/>
      <c r="J79" s="26"/>
      <c r="K79" s="26"/>
      <c r="N79" s="32"/>
    </row>
    <row r="80" spans="1:14" s="5" customFormat="1" ht="12.95" customHeight="1" x14ac:dyDescent="0.2">
      <c r="A80" s="45" t="s">
        <v>323</v>
      </c>
      <c r="B80" s="10">
        <v>3300</v>
      </c>
      <c r="C80" s="35">
        <f>C81+C82+C86</f>
        <v>0</v>
      </c>
      <c r="D80" s="35">
        <f>D81+D82+D86</f>
        <v>0</v>
      </c>
      <c r="E80" s="35">
        <f>E81+E82+E86</f>
        <v>0</v>
      </c>
      <c r="F80" s="35">
        <f>D80</f>
        <v>0</v>
      </c>
      <c r="G80" s="35">
        <f>F80-E80</f>
        <v>0</v>
      </c>
      <c r="H80" s="35">
        <v>0</v>
      </c>
      <c r="I80" s="26"/>
      <c r="J80" s="26"/>
      <c r="K80" s="26"/>
      <c r="N80" s="32">
        <v>0</v>
      </c>
    </row>
    <row r="81" spans="1:14" s="5" customFormat="1" ht="12.95" customHeight="1" x14ac:dyDescent="0.2">
      <c r="A81" s="41" t="s">
        <v>324</v>
      </c>
      <c r="B81" s="50">
        <v>3310</v>
      </c>
      <c r="C81" s="32" t="s">
        <v>53</v>
      </c>
      <c r="D81" s="32" t="s">
        <v>53</v>
      </c>
      <c r="E81" s="32" t="s">
        <v>53</v>
      </c>
      <c r="F81" s="32" t="str">
        <f t="shared" ref="F81:F103" si="8">D81</f>
        <v>0,0</v>
      </c>
      <c r="G81" s="32">
        <f t="shared" ref="G81:G103" si="9">F81-E81</f>
        <v>0</v>
      </c>
      <c r="H81" s="32">
        <v>0</v>
      </c>
      <c r="I81" s="26"/>
      <c r="J81" s="26"/>
      <c r="K81" s="26"/>
      <c r="N81" s="32" t="s">
        <v>53</v>
      </c>
    </row>
    <row r="82" spans="1:14" s="5" customFormat="1" ht="12.95" customHeight="1" x14ac:dyDescent="0.2">
      <c r="A82" s="41" t="s">
        <v>325</v>
      </c>
      <c r="B82" s="50">
        <v>3320</v>
      </c>
      <c r="C82" s="32">
        <f>SUM(C83:C85)</f>
        <v>0</v>
      </c>
      <c r="D82" s="32">
        <f>SUM(D83:D85)</f>
        <v>0</v>
      </c>
      <c r="E82" s="32">
        <f>SUM(E83:E85)</f>
        <v>0</v>
      </c>
      <c r="F82" s="32">
        <f t="shared" si="8"/>
        <v>0</v>
      </c>
      <c r="G82" s="32">
        <f t="shared" si="9"/>
        <v>0</v>
      </c>
      <c r="H82" s="32">
        <v>0</v>
      </c>
      <c r="I82" s="26"/>
      <c r="J82" s="26"/>
      <c r="K82" s="26"/>
      <c r="N82" s="32">
        <v>0</v>
      </c>
    </row>
    <row r="83" spans="1:14" s="5" customFormat="1" ht="12.95" customHeight="1" x14ac:dyDescent="0.2">
      <c r="A83" s="41" t="s">
        <v>290</v>
      </c>
      <c r="B83" s="50">
        <v>3321</v>
      </c>
      <c r="C83" s="32" t="s">
        <v>53</v>
      </c>
      <c r="D83" s="32" t="s">
        <v>53</v>
      </c>
      <c r="E83" s="32" t="s">
        <v>53</v>
      </c>
      <c r="F83" s="32" t="str">
        <f t="shared" si="8"/>
        <v>0,0</v>
      </c>
      <c r="G83" s="32">
        <f t="shared" si="9"/>
        <v>0</v>
      </c>
      <c r="H83" s="32">
        <v>0</v>
      </c>
      <c r="I83" s="26"/>
      <c r="J83" s="26"/>
      <c r="K83" s="26"/>
      <c r="N83" s="32" t="s">
        <v>53</v>
      </c>
    </row>
    <row r="84" spans="1:14" s="5" customFormat="1" ht="12.95" customHeight="1" x14ac:dyDescent="0.2">
      <c r="A84" s="41" t="s">
        <v>291</v>
      </c>
      <c r="B84" s="50">
        <v>3322</v>
      </c>
      <c r="C84" s="32" t="s">
        <v>53</v>
      </c>
      <c r="D84" s="32"/>
      <c r="E84" s="32" t="s">
        <v>53</v>
      </c>
      <c r="F84" s="32">
        <f t="shared" si="8"/>
        <v>0</v>
      </c>
      <c r="G84" s="32">
        <f t="shared" si="9"/>
        <v>0</v>
      </c>
      <c r="H84" s="32">
        <v>0</v>
      </c>
      <c r="I84" s="26"/>
      <c r="J84" s="26"/>
      <c r="K84" s="26"/>
      <c r="N84" s="32" t="s">
        <v>53</v>
      </c>
    </row>
    <row r="85" spans="1:14" s="5" customFormat="1" ht="12.95" customHeight="1" x14ac:dyDescent="0.2">
      <c r="A85" s="41" t="s">
        <v>292</v>
      </c>
      <c r="B85" s="50">
        <v>3323</v>
      </c>
      <c r="C85" s="32" t="s">
        <v>53</v>
      </c>
      <c r="D85" s="32" t="s">
        <v>53</v>
      </c>
      <c r="E85" s="32" t="s">
        <v>53</v>
      </c>
      <c r="F85" s="32" t="str">
        <f t="shared" si="8"/>
        <v>0,0</v>
      </c>
      <c r="G85" s="32">
        <f t="shared" si="9"/>
        <v>0</v>
      </c>
      <c r="H85" s="32">
        <v>0</v>
      </c>
      <c r="I85" s="26"/>
      <c r="J85" s="26"/>
      <c r="K85" s="26"/>
      <c r="N85" s="32" t="s">
        <v>53</v>
      </c>
    </row>
    <row r="86" spans="1:14" s="5" customFormat="1" ht="12.95" customHeight="1" x14ac:dyDescent="0.2">
      <c r="A86" s="41" t="s">
        <v>293</v>
      </c>
      <c r="B86" s="50">
        <v>3340</v>
      </c>
      <c r="C86" s="32" t="s">
        <v>53</v>
      </c>
      <c r="D86" s="32" t="s">
        <v>53</v>
      </c>
      <c r="E86" s="32" t="s">
        <v>53</v>
      </c>
      <c r="F86" s="32" t="str">
        <f t="shared" si="8"/>
        <v>0,0</v>
      </c>
      <c r="G86" s="32">
        <f t="shared" si="9"/>
        <v>0</v>
      </c>
      <c r="H86" s="32">
        <v>0</v>
      </c>
      <c r="I86" s="26"/>
      <c r="J86" s="26"/>
      <c r="K86" s="26"/>
      <c r="N86" s="32" t="s">
        <v>53</v>
      </c>
    </row>
    <row r="87" spans="1:14" s="5" customFormat="1" ht="12.95" hidden="1" customHeight="1" x14ac:dyDescent="0.2">
      <c r="A87" s="43"/>
      <c r="B87" s="46"/>
      <c r="C87" s="32" t="s">
        <v>53</v>
      </c>
      <c r="D87" s="32" t="s">
        <v>53</v>
      </c>
      <c r="E87" s="32" t="s">
        <v>53</v>
      </c>
      <c r="F87" s="32" t="str">
        <f t="shared" si="8"/>
        <v>0,0</v>
      </c>
      <c r="G87" s="32">
        <f t="shared" si="9"/>
        <v>0</v>
      </c>
      <c r="H87" s="32">
        <v>0</v>
      </c>
      <c r="I87" s="26"/>
      <c r="J87" s="26"/>
      <c r="K87" s="26"/>
      <c r="N87" s="32" t="s">
        <v>53</v>
      </c>
    </row>
    <row r="88" spans="1:14" s="5" customFormat="1" ht="12.95" hidden="1" customHeight="1" x14ac:dyDescent="0.2">
      <c r="A88" s="43"/>
      <c r="B88" s="46"/>
      <c r="C88" s="32" t="s">
        <v>53</v>
      </c>
      <c r="D88" s="32" t="s">
        <v>53</v>
      </c>
      <c r="E88" s="32" t="s">
        <v>53</v>
      </c>
      <c r="F88" s="32" t="str">
        <f t="shared" si="8"/>
        <v>0,0</v>
      </c>
      <c r="G88" s="32">
        <f t="shared" si="9"/>
        <v>0</v>
      </c>
      <c r="H88" s="32">
        <v>0</v>
      </c>
      <c r="I88" s="26"/>
      <c r="J88" s="26"/>
      <c r="K88" s="26"/>
      <c r="N88" s="32" t="s">
        <v>53</v>
      </c>
    </row>
    <row r="89" spans="1:14" s="5" customFormat="1" ht="12.95" customHeight="1" x14ac:dyDescent="0.2">
      <c r="A89" s="45" t="s">
        <v>326</v>
      </c>
      <c r="B89" s="10">
        <v>3345</v>
      </c>
      <c r="C89" s="35">
        <f>C90+C91+C95+C96</f>
        <v>0</v>
      </c>
      <c r="D89" s="35">
        <f>D90+D91+D95+D96</f>
        <v>-16318</v>
      </c>
      <c r="E89" s="35">
        <f>E90+E91+E95+E96</f>
        <v>0</v>
      </c>
      <c r="F89" s="35">
        <f t="shared" si="8"/>
        <v>-16318</v>
      </c>
      <c r="G89" s="35">
        <f t="shared" si="9"/>
        <v>-16318</v>
      </c>
      <c r="H89" s="35">
        <v>0</v>
      </c>
      <c r="I89" s="26"/>
      <c r="J89" s="26"/>
      <c r="K89" s="26"/>
      <c r="N89" s="32">
        <v>0</v>
      </c>
    </row>
    <row r="90" spans="1:14" s="5" customFormat="1" ht="12.95" customHeight="1" x14ac:dyDescent="0.2">
      <c r="A90" s="41" t="s">
        <v>327</v>
      </c>
      <c r="B90" s="50">
        <v>3350</v>
      </c>
      <c r="C90" s="32" t="s">
        <v>53</v>
      </c>
      <c r="D90" s="32" t="s">
        <v>53</v>
      </c>
      <c r="E90" s="32" t="s">
        <v>53</v>
      </c>
      <c r="F90" s="32" t="str">
        <f t="shared" si="8"/>
        <v>0,0</v>
      </c>
      <c r="G90" s="32">
        <f t="shared" si="9"/>
        <v>0</v>
      </c>
      <c r="H90" s="32">
        <v>0</v>
      </c>
      <c r="I90" s="26"/>
      <c r="J90" s="26"/>
      <c r="K90" s="26"/>
      <c r="N90" s="32" t="s">
        <v>53</v>
      </c>
    </row>
    <row r="91" spans="1:14" s="5" customFormat="1" ht="12.95" customHeight="1" x14ac:dyDescent="0.2">
      <c r="A91" s="41" t="s">
        <v>328</v>
      </c>
      <c r="B91" s="50">
        <v>3360</v>
      </c>
      <c r="C91" s="32">
        <f>SUM(C92:C94)</f>
        <v>0</v>
      </c>
      <c r="D91" s="32">
        <f>SUM(D92:D94)</f>
        <v>0</v>
      </c>
      <c r="E91" s="32">
        <f>SUM(E92:E94)</f>
        <v>0</v>
      </c>
      <c r="F91" s="32">
        <f t="shared" si="8"/>
        <v>0</v>
      </c>
      <c r="G91" s="32">
        <f t="shared" si="9"/>
        <v>0</v>
      </c>
      <c r="H91" s="32">
        <v>0</v>
      </c>
      <c r="I91" s="26"/>
      <c r="J91" s="26"/>
      <c r="K91" s="26"/>
      <c r="N91" s="32">
        <v>0</v>
      </c>
    </row>
    <row r="92" spans="1:14" s="5" customFormat="1" ht="12.95" customHeight="1" x14ac:dyDescent="0.2">
      <c r="A92" s="41" t="s">
        <v>290</v>
      </c>
      <c r="B92" s="50">
        <v>3361</v>
      </c>
      <c r="C92" s="32" t="s">
        <v>53</v>
      </c>
      <c r="D92" s="32" t="s">
        <v>53</v>
      </c>
      <c r="E92" s="32" t="s">
        <v>53</v>
      </c>
      <c r="F92" s="32" t="str">
        <f t="shared" si="8"/>
        <v>0,0</v>
      </c>
      <c r="G92" s="32">
        <f t="shared" si="9"/>
        <v>0</v>
      </c>
      <c r="H92" s="32">
        <v>0</v>
      </c>
      <c r="I92" s="26"/>
      <c r="J92" s="26"/>
      <c r="K92" s="26"/>
      <c r="N92" s="32" t="s">
        <v>53</v>
      </c>
    </row>
    <row r="93" spans="1:14" s="5" customFormat="1" ht="12.95" customHeight="1" x14ac:dyDescent="0.2">
      <c r="A93" s="41" t="s">
        <v>291</v>
      </c>
      <c r="B93" s="50">
        <v>3362</v>
      </c>
      <c r="C93" s="32" t="s">
        <v>53</v>
      </c>
      <c r="D93" s="32"/>
      <c r="E93" s="32" t="s">
        <v>53</v>
      </c>
      <c r="F93" s="32">
        <f t="shared" si="8"/>
        <v>0</v>
      </c>
      <c r="G93" s="32">
        <f t="shared" si="9"/>
        <v>0</v>
      </c>
      <c r="H93" s="32">
        <v>0</v>
      </c>
      <c r="I93" s="26"/>
      <c r="J93" s="26"/>
      <c r="K93" s="26"/>
      <c r="N93" s="32" t="s">
        <v>53</v>
      </c>
    </row>
    <row r="94" spans="1:14" s="5" customFormat="1" ht="12.95" customHeight="1" x14ac:dyDescent="0.2">
      <c r="A94" s="41" t="s">
        <v>292</v>
      </c>
      <c r="B94" s="50">
        <v>3363</v>
      </c>
      <c r="C94" s="32" t="s">
        <v>53</v>
      </c>
      <c r="D94" s="32" t="s">
        <v>53</v>
      </c>
      <c r="E94" s="32" t="s">
        <v>53</v>
      </c>
      <c r="F94" s="32" t="str">
        <f t="shared" si="8"/>
        <v>0,0</v>
      </c>
      <c r="G94" s="32">
        <f t="shared" si="9"/>
        <v>0</v>
      </c>
      <c r="H94" s="32">
        <v>0</v>
      </c>
      <c r="I94" s="26"/>
      <c r="J94" s="26"/>
      <c r="K94" s="26"/>
      <c r="N94" s="32" t="s">
        <v>53</v>
      </c>
    </row>
    <row r="95" spans="1:14" s="5" customFormat="1" ht="12.95" customHeight="1" x14ac:dyDescent="0.2">
      <c r="A95" s="41" t="s">
        <v>329</v>
      </c>
      <c r="B95" s="50">
        <v>3370</v>
      </c>
      <c r="C95" s="32" t="s">
        <v>53</v>
      </c>
      <c r="D95" s="32">
        <v>-15032</v>
      </c>
      <c r="E95" s="32" t="s">
        <v>53</v>
      </c>
      <c r="F95" s="32">
        <f t="shared" si="8"/>
        <v>-15032</v>
      </c>
      <c r="G95" s="32">
        <f t="shared" si="9"/>
        <v>-15032</v>
      </c>
      <c r="H95" s="32">
        <v>0</v>
      </c>
      <c r="I95" s="26"/>
      <c r="J95" s="26"/>
      <c r="K95" s="26"/>
      <c r="N95" s="32" t="s">
        <v>53</v>
      </c>
    </row>
    <row r="96" spans="1:14" s="5" customFormat="1" ht="12.95" customHeight="1" x14ac:dyDescent="0.2">
      <c r="A96" s="41" t="s">
        <v>308</v>
      </c>
      <c r="B96" s="50">
        <v>3380</v>
      </c>
      <c r="C96" s="32" t="s">
        <v>53</v>
      </c>
      <c r="D96" s="32">
        <v>-1286</v>
      </c>
      <c r="E96" s="32" t="s">
        <v>53</v>
      </c>
      <c r="F96" s="32">
        <f t="shared" si="8"/>
        <v>-1286</v>
      </c>
      <c r="G96" s="32">
        <f t="shared" si="9"/>
        <v>-1286</v>
      </c>
      <c r="H96" s="32">
        <v>0</v>
      </c>
      <c r="I96" s="26"/>
      <c r="J96" s="26"/>
      <c r="K96" s="26"/>
      <c r="N96" s="32" t="s">
        <v>53</v>
      </c>
    </row>
    <row r="97" spans="1:14" s="5" customFormat="1" ht="12.95" hidden="1" customHeight="1" x14ac:dyDescent="0.2">
      <c r="A97" s="43"/>
      <c r="B97" s="46"/>
      <c r="C97" s="32" t="s">
        <v>53</v>
      </c>
      <c r="D97" s="32" t="s">
        <v>53</v>
      </c>
      <c r="E97" s="32" t="s">
        <v>53</v>
      </c>
      <c r="F97" s="32" t="str">
        <f t="shared" si="8"/>
        <v>0,0</v>
      </c>
      <c r="G97" s="32">
        <f t="shared" si="9"/>
        <v>0</v>
      </c>
      <c r="H97" s="32">
        <v>0</v>
      </c>
      <c r="I97" s="26"/>
      <c r="J97" s="26"/>
      <c r="K97" s="26"/>
      <c r="N97" s="32" t="s">
        <v>53</v>
      </c>
    </row>
    <row r="98" spans="1:14" s="5" customFormat="1" ht="12.95" hidden="1" customHeight="1" x14ac:dyDescent="0.2">
      <c r="A98" s="43"/>
      <c r="B98" s="46"/>
      <c r="C98" s="32" t="s">
        <v>53</v>
      </c>
      <c r="D98" s="32" t="s">
        <v>53</v>
      </c>
      <c r="E98" s="32" t="s">
        <v>53</v>
      </c>
      <c r="F98" s="32" t="str">
        <f t="shared" si="8"/>
        <v>0,0</v>
      </c>
      <c r="G98" s="32">
        <f t="shared" si="9"/>
        <v>0</v>
      </c>
      <c r="H98" s="32">
        <v>0</v>
      </c>
      <c r="I98" s="26"/>
      <c r="J98" s="26"/>
      <c r="K98" s="26"/>
      <c r="N98" s="32" t="s">
        <v>53</v>
      </c>
    </row>
    <row r="99" spans="1:14" s="5" customFormat="1" ht="12.95" customHeight="1" x14ac:dyDescent="0.2">
      <c r="A99" s="45" t="s">
        <v>330</v>
      </c>
      <c r="B99" s="10">
        <v>3395</v>
      </c>
      <c r="C99" s="35">
        <f>C80+C89</f>
        <v>0</v>
      </c>
      <c r="D99" s="35">
        <f>D80+D89</f>
        <v>-16318</v>
      </c>
      <c r="E99" s="35">
        <f>E80+E89</f>
        <v>0</v>
      </c>
      <c r="F99" s="35">
        <f t="shared" si="8"/>
        <v>-16318</v>
      </c>
      <c r="G99" s="35">
        <f t="shared" si="9"/>
        <v>-16318</v>
      </c>
      <c r="H99" s="35">
        <v>0</v>
      </c>
      <c r="I99" s="26"/>
      <c r="J99" s="26"/>
      <c r="K99" s="26"/>
      <c r="N99" s="32">
        <v>0</v>
      </c>
    </row>
    <row r="100" spans="1:14" s="5" customFormat="1" ht="12.95" customHeight="1" x14ac:dyDescent="0.2">
      <c r="A100" s="45" t="s">
        <v>331</v>
      </c>
      <c r="B100" s="10">
        <v>3400</v>
      </c>
      <c r="C100" s="35">
        <f>C50+C78+C99</f>
        <v>1570</v>
      </c>
      <c r="D100" s="35">
        <f>D50+D78+D99</f>
        <v>7296</v>
      </c>
      <c r="E100" s="35">
        <f>E50+E78+E99</f>
        <v>470</v>
      </c>
      <c r="F100" s="35">
        <f t="shared" si="8"/>
        <v>7296</v>
      </c>
      <c r="G100" s="35">
        <f t="shared" si="9"/>
        <v>6826</v>
      </c>
      <c r="H100" s="35">
        <f>F100/E100*100</f>
        <v>1552.3404255319149</v>
      </c>
      <c r="I100" s="26"/>
      <c r="J100" s="26"/>
      <c r="K100" s="26"/>
      <c r="N100" s="32">
        <v>3445.9999999999072</v>
      </c>
    </row>
    <row r="101" spans="1:14" s="5" customFormat="1" ht="12.95" customHeight="1" x14ac:dyDescent="0.2">
      <c r="A101" s="41" t="s">
        <v>126</v>
      </c>
      <c r="B101" s="50">
        <v>3405</v>
      </c>
      <c r="C101" s="32">
        <v>11407</v>
      </c>
      <c r="D101" s="32">
        <v>12298</v>
      </c>
      <c r="E101" s="32">
        <v>20200</v>
      </c>
      <c r="F101" s="32">
        <f t="shared" si="8"/>
        <v>12298</v>
      </c>
      <c r="G101" s="32">
        <f t="shared" si="9"/>
        <v>-7902</v>
      </c>
      <c r="H101" s="32">
        <f>F101/E101*100</f>
        <v>60.881188118811878</v>
      </c>
      <c r="I101" s="26"/>
      <c r="J101" s="26"/>
      <c r="K101" s="26"/>
      <c r="N101" s="32">
        <v>12298</v>
      </c>
    </row>
    <row r="102" spans="1:14" s="5" customFormat="1" ht="12.95" customHeight="1" x14ac:dyDescent="0.2">
      <c r="A102" s="41" t="s">
        <v>131</v>
      </c>
      <c r="B102" s="50">
        <v>3410</v>
      </c>
      <c r="C102" s="32">
        <v>-679</v>
      </c>
      <c r="D102" s="32">
        <v>594</v>
      </c>
      <c r="E102" s="32" t="s">
        <v>53</v>
      </c>
      <c r="F102" s="32">
        <f t="shared" si="8"/>
        <v>594</v>
      </c>
      <c r="G102" s="32">
        <f t="shared" si="9"/>
        <v>594</v>
      </c>
      <c r="H102" s="32" t="s">
        <v>457</v>
      </c>
      <c r="I102" s="26"/>
      <c r="J102" s="26"/>
      <c r="K102" s="26"/>
      <c r="N102" s="32">
        <v>0</v>
      </c>
    </row>
    <row r="103" spans="1:14" s="5" customFormat="1" ht="12.95" customHeight="1" x14ac:dyDescent="0.2">
      <c r="A103" s="41" t="s">
        <v>132</v>
      </c>
      <c r="B103" s="50">
        <v>3415</v>
      </c>
      <c r="C103" s="32">
        <f>SUM(C100,C101,C102)</f>
        <v>12298</v>
      </c>
      <c r="D103" s="32">
        <f>SUM(D100,D101,D102)</f>
        <v>20188</v>
      </c>
      <c r="E103" s="32">
        <f>SUM(E100,E101,E102)</f>
        <v>20670</v>
      </c>
      <c r="F103" s="32">
        <f t="shared" si="8"/>
        <v>20188</v>
      </c>
      <c r="G103" s="32">
        <f t="shared" si="9"/>
        <v>-482</v>
      </c>
      <c r="H103" s="32">
        <f>F103/E103*100</f>
        <v>97.668118045476533</v>
      </c>
      <c r="I103" s="26"/>
      <c r="J103" s="26"/>
      <c r="K103" s="26"/>
      <c r="N103" s="8">
        <v>15743.9999999999</v>
      </c>
    </row>
    <row r="104" spans="1:14" s="5" customFormat="1" ht="12.95" customHeight="1" x14ac:dyDescent="0.2">
      <c r="I104" s="26"/>
      <c r="J104" s="26"/>
      <c r="K104" s="26"/>
    </row>
    <row r="105" spans="1:14" s="5" customFormat="1" ht="12.95" customHeight="1" x14ac:dyDescent="0.2">
      <c r="A105" s="49" t="s">
        <v>183</v>
      </c>
      <c r="I105" s="26"/>
      <c r="J105" s="26"/>
      <c r="K105" s="26"/>
    </row>
    <row r="106" spans="1:14" s="23" customFormat="1" ht="12.95" customHeight="1" x14ac:dyDescent="0.2">
      <c r="A106" s="22" t="s">
        <v>571</v>
      </c>
      <c r="B106" s="49"/>
      <c r="C106" s="72"/>
      <c r="D106" s="72"/>
      <c r="E106" s="49"/>
      <c r="F106" s="73" t="s">
        <v>599</v>
      </c>
      <c r="G106" s="74"/>
      <c r="H106" s="74"/>
      <c r="I106" s="28"/>
      <c r="J106" s="28"/>
      <c r="K106" s="28"/>
    </row>
    <row r="107" spans="1:14" s="23" customFormat="1" ht="12.95" customHeight="1" x14ac:dyDescent="0.2">
      <c r="A107" s="52" t="s">
        <v>184</v>
      </c>
      <c r="B107" s="49"/>
      <c r="C107" s="71" t="s">
        <v>185</v>
      </c>
      <c r="D107" s="71"/>
      <c r="E107" s="49"/>
      <c r="F107" s="71" t="s">
        <v>186</v>
      </c>
      <c r="G107" s="71"/>
      <c r="H107" s="71"/>
      <c r="I107" s="28"/>
      <c r="J107" s="28"/>
      <c r="K107" s="28"/>
    </row>
  </sheetData>
  <mergeCells count="12">
    <mergeCell ref="A6:H6"/>
    <mergeCell ref="A1:H1"/>
    <mergeCell ref="A3:A4"/>
    <mergeCell ref="B3:B4"/>
    <mergeCell ref="C3:D3"/>
    <mergeCell ref="E3:H3"/>
    <mergeCell ref="A51:H51"/>
    <mergeCell ref="A79:H79"/>
    <mergeCell ref="F106:H106"/>
    <mergeCell ref="C107:D107"/>
    <mergeCell ref="F107:H107"/>
    <mergeCell ref="C106:D106"/>
  </mergeCells>
  <phoneticPr fontId="0" type="noConversion"/>
  <pageMargins left="0.35433070866141736" right="0.35433070866141736" top="0.35433070866141736" bottom="0.35433070866141736" header="0" footer="0"/>
  <pageSetup paperSize="9" fitToWidth="0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16"/>
  <sheetViews>
    <sheetView workbookViewId="0">
      <selection activeCell="G22" sqref="G22"/>
    </sheetView>
  </sheetViews>
  <sheetFormatPr defaultColWidth="8.7109375" defaultRowHeight="11.45" customHeight="1" x14ac:dyDescent="0.2"/>
  <cols>
    <col min="1" max="1" width="57.7109375" style="36" customWidth="1"/>
    <col min="2" max="2" width="8.7109375" style="36" customWidth="1"/>
    <col min="3" max="8" width="12.7109375" style="36" customWidth="1"/>
    <col min="9" max="16384" width="8.7109375" style="9"/>
  </cols>
  <sheetData>
    <row r="1" spans="1:8" s="5" customFormat="1" ht="12.95" customHeight="1" x14ac:dyDescent="0.2">
      <c r="A1" s="71" t="s">
        <v>332</v>
      </c>
      <c r="B1" s="71"/>
      <c r="C1" s="71"/>
      <c r="D1" s="71"/>
      <c r="E1" s="71"/>
      <c r="F1" s="71"/>
      <c r="G1" s="71"/>
      <c r="H1" s="71"/>
    </row>
    <row r="2" spans="1:8" s="5" customFormat="1" ht="12.95" customHeight="1" x14ac:dyDescent="0.2"/>
    <row r="3" spans="1:8" s="5" customFormat="1" ht="26.1" customHeight="1" x14ac:dyDescent="0.2">
      <c r="A3" s="101" t="s">
        <v>42</v>
      </c>
      <c r="B3" s="101" t="s">
        <v>43</v>
      </c>
      <c r="C3" s="101" t="s">
        <v>44</v>
      </c>
      <c r="D3" s="101"/>
      <c r="E3" s="101" t="str">
        <f>'Осн. фін. пок.'!E27:H27</f>
        <v>Звітний період (2017 р.)</v>
      </c>
      <c r="F3" s="101"/>
      <c r="G3" s="101"/>
      <c r="H3" s="101"/>
    </row>
    <row r="4" spans="1:8" s="5" customFormat="1" ht="26.1" customHeight="1" x14ac:dyDescent="0.2">
      <c r="A4" s="101"/>
      <c r="B4" s="101"/>
      <c r="C4" s="46" t="s">
        <v>45</v>
      </c>
      <c r="D4" s="46" t="s">
        <v>46</v>
      </c>
      <c r="E4" s="46" t="s">
        <v>47</v>
      </c>
      <c r="F4" s="46" t="s">
        <v>48</v>
      </c>
      <c r="G4" s="46" t="s">
        <v>49</v>
      </c>
      <c r="H4" s="46" t="s">
        <v>50</v>
      </c>
    </row>
    <row r="5" spans="1:8" s="5" customFormat="1" ht="12.95" customHeight="1" x14ac:dyDescent="0.2">
      <c r="A5" s="19">
        <v>1</v>
      </c>
      <c r="B5" s="19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</row>
    <row r="6" spans="1:8" s="36" customFormat="1" ht="26.1" customHeight="1" x14ac:dyDescent="0.2">
      <c r="A6" s="31" t="s">
        <v>333</v>
      </c>
      <c r="B6" s="10">
        <v>4000</v>
      </c>
      <c r="C6" s="35">
        <f>SUM(C7:C12)</f>
        <v>7423</v>
      </c>
      <c r="D6" s="35">
        <f>SUM(D7:D12)</f>
        <v>24643</v>
      </c>
      <c r="E6" s="35">
        <f>SUM(E7:E12)</f>
        <v>21020</v>
      </c>
      <c r="F6" s="35">
        <f>D6</f>
        <v>24643</v>
      </c>
      <c r="G6" s="35">
        <f>F6-E6</f>
        <v>3623</v>
      </c>
      <c r="H6" s="64">
        <f>F6/E6*100</f>
        <v>117.23596574690771</v>
      </c>
    </row>
    <row r="7" spans="1:8" s="36" customFormat="1" ht="12.95" customHeight="1" x14ac:dyDescent="0.2">
      <c r="A7" s="18" t="s">
        <v>135</v>
      </c>
      <c r="B7" s="19">
        <v>4010</v>
      </c>
      <c r="C7" s="32" t="s">
        <v>53</v>
      </c>
      <c r="D7" s="32">
        <v>9433.1</v>
      </c>
      <c r="E7" s="32">
        <v>5000</v>
      </c>
      <c r="F7" s="32">
        <f t="shared" ref="F7:F12" si="0">D7</f>
        <v>9433.1</v>
      </c>
      <c r="G7" s="32">
        <f t="shared" ref="G7:G12" si="1">F7-E7</f>
        <v>4433.1000000000004</v>
      </c>
      <c r="H7" s="51">
        <v>0</v>
      </c>
    </row>
    <row r="8" spans="1:8" s="36" customFormat="1" ht="12.95" customHeight="1" x14ac:dyDescent="0.2">
      <c r="A8" s="18" t="s">
        <v>136</v>
      </c>
      <c r="B8" s="19">
        <v>4020</v>
      </c>
      <c r="C8" s="32">
        <v>6186</v>
      </c>
      <c r="D8" s="32">
        <v>13538.9</v>
      </c>
      <c r="E8" s="32">
        <v>6215</v>
      </c>
      <c r="F8" s="32">
        <f t="shared" si="0"/>
        <v>13538.9</v>
      </c>
      <c r="G8" s="32">
        <f t="shared" si="1"/>
        <v>7323.9</v>
      </c>
      <c r="H8" s="51">
        <f>F8/E8*100</f>
        <v>217.84231697506033</v>
      </c>
    </row>
    <row r="9" spans="1:8" s="36" customFormat="1" ht="12.95" customHeight="1" x14ac:dyDescent="0.2">
      <c r="A9" s="18" t="s">
        <v>137</v>
      </c>
      <c r="B9" s="19">
        <v>4030</v>
      </c>
      <c r="C9" s="32" t="s">
        <v>53</v>
      </c>
      <c r="D9" s="32" t="s">
        <v>53</v>
      </c>
      <c r="E9" s="32" t="s">
        <v>53</v>
      </c>
      <c r="F9" s="32" t="str">
        <f t="shared" si="0"/>
        <v>0,0</v>
      </c>
      <c r="G9" s="32">
        <f t="shared" si="1"/>
        <v>0</v>
      </c>
      <c r="H9" s="51">
        <v>0</v>
      </c>
    </row>
    <row r="10" spans="1:8" s="36" customFormat="1" ht="12.95" customHeight="1" x14ac:dyDescent="0.2">
      <c r="A10" s="18" t="s">
        <v>138</v>
      </c>
      <c r="B10" s="19">
        <v>4040</v>
      </c>
      <c r="C10" s="32">
        <v>1237</v>
      </c>
      <c r="D10" s="32">
        <v>176</v>
      </c>
      <c r="E10" s="32">
        <v>3505</v>
      </c>
      <c r="F10" s="32">
        <f t="shared" si="0"/>
        <v>176</v>
      </c>
      <c r="G10" s="32">
        <f t="shared" si="1"/>
        <v>-3329</v>
      </c>
      <c r="H10" s="51">
        <f>F10/E10*100</f>
        <v>5.0213980028530667</v>
      </c>
    </row>
    <row r="11" spans="1:8" s="36" customFormat="1" ht="26.1" customHeight="1" x14ac:dyDescent="0.2">
      <c r="A11" s="18" t="s">
        <v>139</v>
      </c>
      <c r="B11" s="19">
        <v>4050</v>
      </c>
      <c r="C11" s="32" t="s">
        <v>53</v>
      </c>
      <c r="D11" s="32" t="s">
        <v>53</v>
      </c>
      <c r="E11" s="32">
        <v>5900</v>
      </c>
      <c r="F11" s="32" t="str">
        <f t="shared" si="0"/>
        <v>0,0</v>
      </c>
      <c r="G11" s="32">
        <f t="shared" si="1"/>
        <v>-5900</v>
      </c>
      <c r="H11" s="51">
        <v>0</v>
      </c>
    </row>
    <row r="12" spans="1:8" s="36" customFormat="1" ht="12.95" customHeight="1" x14ac:dyDescent="0.2">
      <c r="A12" s="18" t="s">
        <v>140</v>
      </c>
      <c r="B12" s="19">
        <v>4060</v>
      </c>
      <c r="C12" s="32" t="s">
        <v>53</v>
      </c>
      <c r="D12" s="32">
        <v>1495</v>
      </c>
      <c r="E12" s="32">
        <v>400</v>
      </c>
      <c r="F12" s="32">
        <f t="shared" si="0"/>
        <v>1495</v>
      </c>
      <c r="G12" s="32">
        <f t="shared" si="1"/>
        <v>1095</v>
      </c>
      <c r="H12" s="51">
        <v>0</v>
      </c>
    </row>
    <row r="13" spans="1:8" s="5" customFormat="1" ht="12.95" customHeight="1" x14ac:dyDescent="0.2"/>
    <row r="14" spans="1:8" s="5" customFormat="1" ht="12.95" customHeight="1" x14ac:dyDescent="0.2">
      <c r="A14" s="20" t="s">
        <v>183</v>
      </c>
    </row>
    <row r="15" spans="1:8" s="23" customFormat="1" ht="12.95" customHeight="1" x14ac:dyDescent="0.2">
      <c r="A15" s="22" t="s">
        <v>571</v>
      </c>
      <c r="B15" s="20"/>
      <c r="C15" s="72"/>
      <c r="D15" s="72"/>
      <c r="E15" s="20"/>
      <c r="F15" s="73" t="s">
        <v>599</v>
      </c>
      <c r="G15" s="74"/>
      <c r="H15" s="74"/>
    </row>
    <row r="16" spans="1:8" s="23" customFormat="1" ht="12.95" customHeight="1" x14ac:dyDescent="0.2">
      <c r="A16" s="30" t="s">
        <v>184</v>
      </c>
      <c r="B16" s="20"/>
      <c r="C16" s="71" t="s">
        <v>185</v>
      </c>
      <c r="D16" s="71"/>
      <c r="E16" s="20"/>
      <c r="F16" s="71" t="s">
        <v>186</v>
      </c>
      <c r="G16" s="71"/>
      <c r="H16" s="71"/>
    </row>
  </sheetData>
  <mergeCells count="9">
    <mergeCell ref="C16:D16"/>
    <mergeCell ref="F16:H16"/>
    <mergeCell ref="A1:H1"/>
    <mergeCell ref="A3:A4"/>
    <mergeCell ref="B3:B4"/>
    <mergeCell ref="C3:D3"/>
    <mergeCell ref="E3:H3"/>
    <mergeCell ref="F15:H15"/>
    <mergeCell ref="C15:D15"/>
  </mergeCells>
  <phoneticPr fontId="0" type="noConversion"/>
  <pageMargins left="0.35433070866141736" right="0.35433070866141736" top="0.35433070866141736" bottom="0.35433070866141736" header="0" footer="0"/>
  <pageSetup paperSize="9" scale="98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25"/>
  <sheetViews>
    <sheetView workbookViewId="0">
      <selection activeCell="G17" sqref="G17"/>
    </sheetView>
  </sheetViews>
  <sheetFormatPr defaultColWidth="8.7109375" defaultRowHeight="11.45" customHeight="1" x14ac:dyDescent="0.2"/>
  <cols>
    <col min="1" max="1" width="60.140625" style="5" customWidth="1"/>
    <col min="2" max="2" width="8.7109375" style="5" customWidth="1"/>
    <col min="3" max="3" width="12.5703125" style="5" customWidth="1"/>
    <col min="4" max="4" width="12.140625" style="5" customWidth="1"/>
    <col min="5" max="5" width="13.85546875" style="5" customWidth="1"/>
    <col min="6" max="7" width="12.140625" style="5" customWidth="1"/>
    <col min="8" max="8" width="50" style="5" customWidth="1"/>
    <col min="9" max="9" width="11.5703125" style="9" bestFit="1" customWidth="1"/>
    <col min="10" max="16384" width="8.7109375" style="9"/>
  </cols>
  <sheetData>
    <row r="1" spans="1:8" s="5" customFormat="1" ht="12.95" customHeight="1" x14ac:dyDescent="0.2">
      <c r="A1" s="71" t="s">
        <v>150</v>
      </c>
      <c r="B1" s="71"/>
      <c r="C1" s="71"/>
      <c r="D1" s="71"/>
      <c r="E1" s="71"/>
      <c r="F1" s="71"/>
      <c r="G1" s="71"/>
      <c r="H1" s="71"/>
    </row>
    <row r="2" spans="1:8" s="5" customFormat="1" ht="12.95" customHeight="1" x14ac:dyDescent="0.2"/>
    <row r="3" spans="1:8" s="5" customFormat="1" ht="26.1" customHeight="1" x14ac:dyDescent="0.2">
      <c r="A3" s="101" t="s">
        <v>42</v>
      </c>
      <c r="B3" s="101" t="s">
        <v>43</v>
      </c>
      <c r="C3" s="101" t="s">
        <v>334</v>
      </c>
      <c r="D3" s="101" t="s">
        <v>44</v>
      </c>
      <c r="E3" s="101"/>
      <c r="F3" s="104" t="s">
        <v>580</v>
      </c>
      <c r="G3" s="101"/>
      <c r="H3" s="101" t="s">
        <v>335</v>
      </c>
    </row>
    <row r="4" spans="1:8" s="5" customFormat="1" ht="12.95" customHeight="1" x14ac:dyDescent="0.2">
      <c r="A4" s="101"/>
      <c r="B4" s="101"/>
      <c r="C4" s="101"/>
      <c r="D4" s="17" t="s">
        <v>45</v>
      </c>
      <c r="E4" s="17" t="s">
        <v>46</v>
      </c>
      <c r="F4" s="17" t="s">
        <v>45</v>
      </c>
      <c r="G4" s="17" t="s">
        <v>46</v>
      </c>
      <c r="H4" s="101"/>
    </row>
    <row r="5" spans="1:8" s="5" customFormat="1" ht="12.95" customHeight="1" x14ac:dyDescent="0.2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19">
        <v>7</v>
      </c>
      <c r="H5" s="19">
        <v>8</v>
      </c>
    </row>
    <row r="6" spans="1:8" s="5" customFormat="1" ht="12.95" customHeight="1" x14ac:dyDescent="0.2">
      <c r="A6" s="103" t="s">
        <v>336</v>
      </c>
      <c r="B6" s="103"/>
      <c r="C6" s="103"/>
      <c r="D6" s="103"/>
      <c r="E6" s="103"/>
      <c r="F6" s="103"/>
      <c r="G6" s="103"/>
      <c r="H6" s="103"/>
    </row>
    <row r="7" spans="1:8" s="5" customFormat="1" ht="38.1" customHeight="1" x14ac:dyDescent="0.2">
      <c r="A7" s="18" t="s">
        <v>337</v>
      </c>
      <c r="B7" s="19">
        <v>5000</v>
      </c>
      <c r="C7" s="17" t="s">
        <v>338</v>
      </c>
      <c r="D7" s="15">
        <f>'Осн. фін. пок.'!C33/'Осн. фін. пок.'!C31*100</f>
        <v>13.267305790059785</v>
      </c>
      <c r="E7" s="15">
        <f>'Осн. фін. пок.'!D33/'Осн. фін. пок.'!D31*100</f>
        <v>4.6105193075898807</v>
      </c>
      <c r="F7" s="15">
        <f>D7</f>
        <v>13.267305790059785</v>
      </c>
      <c r="G7" s="15">
        <f>'Осн. фін. пок.'!F33/'Осн. фін. пок.'!F31*100</f>
        <v>4.6105193075898807</v>
      </c>
      <c r="H7" s="18"/>
    </row>
    <row r="8" spans="1:8" s="5" customFormat="1" ht="38.1" customHeight="1" x14ac:dyDescent="0.2">
      <c r="A8" s="18" t="s">
        <v>339</v>
      </c>
      <c r="B8" s="19">
        <v>5010</v>
      </c>
      <c r="C8" s="17" t="s">
        <v>338</v>
      </c>
      <c r="D8" s="15">
        <f>'I. Формування фін. рез.'!C114/'I. Формування фін. рез.'!C7*100</f>
        <v>3.5743369768758435</v>
      </c>
      <c r="E8" s="15">
        <f>'I. Формування фін. рез.'!D114/'I. Формування фін. рез.'!D7*100</f>
        <v>-1.9559305541329519</v>
      </c>
      <c r="F8" s="15">
        <f t="shared" ref="F8:F11" si="0">D8</f>
        <v>3.5743369768758435</v>
      </c>
      <c r="G8" s="15">
        <f>'I. Формування фін. рез.'!F114/'I. Формування фін. рез.'!F7*100</f>
        <v>-1.9559305541329519</v>
      </c>
      <c r="H8" s="18"/>
    </row>
    <row r="9" spans="1:8" s="5" customFormat="1" ht="38.1" customHeight="1" x14ac:dyDescent="0.2">
      <c r="A9" s="18" t="s">
        <v>340</v>
      </c>
      <c r="B9" s="19">
        <v>5020</v>
      </c>
      <c r="C9" s="17" t="s">
        <v>338</v>
      </c>
      <c r="D9" s="15">
        <f>'Осн. фін. пок.'!C63/'Осн. фін. пок.'!C139*100</f>
        <v>11.154395533047657</v>
      </c>
      <c r="E9" s="15">
        <f>'Осн. фін. пок.'!D63/'Осн. фін. пок.'!D139*100</f>
        <v>0.43397826924023214</v>
      </c>
      <c r="F9" s="15">
        <f t="shared" si="0"/>
        <v>11.154395533047657</v>
      </c>
      <c r="G9" s="15">
        <f>'I. Формування фін. рез.'!D101/'Осн. фін. пок.'!D139*100</f>
        <v>0.43397826924023214</v>
      </c>
      <c r="H9" s="18" t="s">
        <v>341</v>
      </c>
    </row>
    <row r="10" spans="1:8" s="5" customFormat="1" ht="38.1" customHeight="1" x14ac:dyDescent="0.2">
      <c r="A10" s="18" t="s">
        <v>342</v>
      </c>
      <c r="B10" s="19">
        <v>5030</v>
      </c>
      <c r="C10" s="17" t="s">
        <v>338</v>
      </c>
      <c r="D10" s="15">
        <f>'Осн. фін. пок.'!C63/'Осн. фін. пок.'!C145*100</f>
        <v>18.040479319304183</v>
      </c>
      <c r="E10" s="15">
        <f>'Осн. фін. пок.'!D63/'Осн. фін. пок.'!D145*100</f>
        <v>0.98216508760204535</v>
      </c>
      <c r="F10" s="15">
        <f t="shared" si="0"/>
        <v>18.040479319304183</v>
      </c>
      <c r="G10" s="15">
        <f>'Осн. фін. пок.'!F63/'Осн. фін. пок.'!D145*100</f>
        <v>0.98216508760204535</v>
      </c>
      <c r="H10" s="18"/>
    </row>
    <row r="11" spans="1:8" s="5" customFormat="1" ht="38.1" customHeight="1" x14ac:dyDescent="0.2">
      <c r="A11" s="18" t="s">
        <v>343</v>
      </c>
      <c r="B11" s="19">
        <v>5040</v>
      </c>
      <c r="C11" s="17" t="s">
        <v>338</v>
      </c>
      <c r="D11" s="15">
        <f>'Осн. фін. пок.'!C63/'Осн. фін. пок.'!C31*100</f>
        <v>4.6760005225798018</v>
      </c>
      <c r="E11" s="15">
        <f>'Осн. фін. пок.'!D63/'Осн. фін. пок.'!D31*100</f>
        <v>0.19192358906073873</v>
      </c>
      <c r="F11" s="15">
        <f t="shared" si="0"/>
        <v>4.6760005225798018</v>
      </c>
      <c r="G11" s="15">
        <f>'Осн. фін. пок.'!F63/'Осн. фін. пок.'!F31*100</f>
        <v>0.19192358906073873</v>
      </c>
      <c r="H11" s="18" t="s">
        <v>344</v>
      </c>
    </row>
    <row r="12" spans="1:8" s="5" customFormat="1" ht="12.95" customHeight="1" x14ac:dyDescent="0.2">
      <c r="A12" s="103" t="s">
        <v>345</v>
      </c>
      <c r="B12" s="103"/>
      <c r="C12" s="103"/>
      <c r="D12" s="103"/>
      <c r="E12" s="103"/>
      <c r="F12" s="103"/>
      <c r="G12" s="103"/>
      <c r="H12" s="103"/>
    </row>
    <row r="13" spans="1:8" s="5" customFormat="1" ht="38.1" customHeight="1" x14ac:dyDescent="0.2">
      <c r="A13" s="18" t="s">
        <v>346</v>
      </c>
      <c r="B13" s="19">
        <v>5100</v>
      </c>
      <c r="C13" s="17"/>
      <c r="D13" s="15">
        <f>('Осн. фін. пок.'!C140+'Осн. фін. пок.'!C141)/'I. Формування фін. рез.'!C114</f>
        <v>4.4766923247627455</v>
      </c>
      <c r="E13" s="15">
        <f>('Осн. фін. пок.'!D140+'Осн. фін. пок.'!D141)/'I. Формування фін. рез.'!D114</f>
        <v>-12.619758323187092</v>
      </c>
      <c r="F13" s="15">
        <f>D13</f>
        <v>4.4766923247627455</v>
      </c>
      <c r="G13" s="15">
        <f>('Осн. фін. пок.'!D140+'Осн. фін. пок.'!D141)/'I. Формування фін. рез.'!F114</f>
        <v>-12.619758323187092</v>
      </c>
      <c r="H13" s="18"/>
    </row>
    <row r="14" spans="1:8" s="5" customFormat="1" ht="38.1" customHeight="1" x14ac:dyDescent="0.2">
      <c r="A14" s="18" t="s">
        <v>347</v>
      </c>
      <c r="B14" s="19">
        <v>5110</v>
      </c>
      <c r="C14" s="17" t="s">
        <v>348</v>
      </c>
      <c r="D14" s="15">
        <f>'Осн. фін. пок.'!C145/('Осн. фін. пок.'!C140+'Осн. фін. пок.'!C141)</f>
        <v>1.6198460372076748</v>
      </c>
      <c r="E14" s="15">
        <f>'Осн. фін. пок.'!D145/('Осн. фін. пок.'!D140+'Осн. фін. пок.'!D141)</f>
        <v>0.79166126346693499</v>
      </c>
      <c r="F14" s="15">
        <f>D14</f>
        <v>1.6198460372076748</v>
      </c>
      <c r="G14" s="15">
        <f>'Осн. фін. пок.'!D145/('Осн. фін. пок.'!D140+'Осн. фін. пок.'!D141)</f>
        <v>0.79166126346693499</v>
      </c>
      <c r="H14" s="18" t="s">
        <v>349</v>
      </c>
    </row>
    <row r="15" spans="1:8" s="5" customFormat="1" ht="38.1" customHeight="1" x14ac:dyDescent="0.2">
      <c r="A15" s="18" t="s">
        <v>350</v>
      </c>
      <c r="B15" s="19">
        <v>5120</v>
      </c>
      <c r="C15" s="17" t="s">
        <v>348</v>
      </c>
      <c r="D15" s="15">
        <f>'Осн. фін. пок.'!C137/'Осн. фін. пок.'!C141</f>
        <v>1.6085358612641019</v>
      </c>
      <c r="E15" s="15">
        <f>'Осн. фін. пок.'!D137/'Осн. фін. пок.'!D141</f>
        <v>1.1806305905039378</v>
      </c>
      <c r="F15" s="15">
        <f>D15</f>
        <v>1.6085358612641019</v>
      </c>
      <c r="G15" s="15">
        <f>'Осн. фін. пок.'!D137/'Осн. фін. пок.'!D141</f>
        <v>1.1806305905039378</v>
      </c>
      <c r="H15" s="18" t="s">
        <v>351</v>
      </c>
    </row>
    <row r="16" spans="1:8" s="5" customFormat="1" ht="12.95" customHeight="1" x14ac:dyDescent="0.2">
      <c r="A16" s="103" t="s">
        <v>352</v>
      </c>
      <c r="B16" s="103"/>
      <c r="C16" s="103"/>
      <c r="D16" s="103"/>
      <c r="E16" s="103"/>
      <c r="F16" s="103"/>
      <c r="G16" s="103"/>
      <c r="H16" s="103"/>
    </row>
    <row r="17" spans="1:8" s="5" customFormat="1" ht="26.1" customHeight="1" x14ac:dyDescent="0.2">
      <c r="A17" s="18" t="s">
        <v>353</v>
      </c>
      <c r="B17" s="19">
        <v>5200</v>
      </c>
      <c r="C17" s="17"/>
      <c r="D17" s="15">
        <f>'Осн. фін. пок.'!C114/'Осн. фін. пок.'!C75</f>
        <v>0.58265306122448979</v>
      </c>
      <c r="E17" s="15">
        <f>'Осн. фін. пок.'!D114/'Осн. фін. пок.'!D75</f>
        <v>1.6340428353557457</v>
      </c>
      <c r="F17" s="15">
        <f>D17</f>
        <v>0.58265306122448979</v>
      </c>
      <c r="G17" s="15">
        <f>'Осн. фін. пок.'!F114/'Осн. фін. пок.'!F75</f>
        <v>1.6340428353557457</v>
      </c>
      <c r="H17" s="18"/>
    </row>
    <row r="18" spans="1:8" s="5" customFormat="1" ht="51" customHeight="1" x14ac:dyDescent="0.2">
      <c r="A18" s="18" t="s">
        <v>354</v>
      </c>
      <c r="B18" s="19">
        <v>5210</v>
      </c>
      <c r="C18" s="17"/>
      <c r="D18" s="15">
        <f>'Осн. фін. пок.'!C121/'Осн. фін. пок.'!C31</f>
        <v>1.1544969858343546E-2</v>
      </c>
      <c r="E18" s="15">
        <f>'Осн. фін. пок.'!D121/'Осн. фін. пок.'!D31</f>
        <v>3.1551521048857931E-2</v>
      </c>
      <c r="F18" s="15">
        <f>D18</f>
        <v>1.1544969858343546E-2</v>
      </c>
      <c r="G18" s="15">
        <f>'Осн. фін. пок.'!F121/'Осн. фін. пок.'!F31</f>
        <v>3.1551521048857931E-2</v>
      </c>
      <c r="H18" s="18"/>
    </row>
    <row r="19" spans="1:8" s="5" customFormat="1" ht="38.1" customHeight="1" x14ac:dyDescent="0.2">
      <c r="A19" s="18" t="s">
        <v>355</v>
      </c>
      <c r="B19" s="19">
        <v>5220</v>
      </c>
      <c r="C19" s="17" t="s">
        <v>356</v>
      </c>
      <c r="D19" s="15">
        <f>'Осн. фін. пок.'!C136/'Осн. фін. пок.'!C135</f>
        <v>0.91908157568606641</v>
      </c>
      <c r="E19" s="15">
        <f>'Осн. фін. пок.'!D136/'Осн. фін. пок.'!D135</f>
        <v>0.9096640362860936</v>
      </c>
      <c r="F19" s="15">
        <f>D19</f>
        <v>0.91908157568606641</v>
      </c>
      <c r="G19" s="15">
        <f>'Осн. фін. пок.'!D136/'Осн. фін. пок.'!D135</f>
        <v>0.9096640362860936</v>
      </c>
      <c r="H19" s="18" t="s">
        <v>357</v>
      </c>
    </row>
    <row r="20" spans="1:8" s="5" customFormat="1" ht="12.95" customHeight="1" x14ac:dyDescent="0.2">
      <c r="A20" s="103" t="s">
        <v>358</v>
      </c>
      <c r="B20" s="103"/>
      <c r="C20" s="103"/>
      <c r="D20" s="103"/>
      <c r="E20" s="103"/>
      <c r="F20" s="103"/>
      <c r="G20" s="103"/>
      <c r="H20" s="103"/>
    </row>
    <row r="21" spans="1:8" s="5" customFormat="1" ht="51" customHeight="1" x14ac:dyDescent="0.2">
      <c r="A21" s="18" t="s">
        <v>359</v>
      </c>
      <c r="B21" s="19">
        <v>5300</v>
      </c>
      <c r="C21" s="17"/>
      <c r="D21" s="16" t="s">
        <v>53</v>
      </c>
      <c r="E21" s="16" t="s">
        <v>53</v>
      </c>
      <c r="F21" s="16" t="s">
        <v>53</v>
      </c>
      <c r="G21" s="16" t="s">
        <v>53</v>
      </c>
      <c r="H21" s="18"/>
    </row>
    <row r="22" spans="1:8" s="5" customFormat="1" ht="12.95" customHeight="1" x14ac:dyDescent="0.2"/>
    <row r="23" spans="1:8" s="5" customFormat="1" ht="12.95" customHeight="1" x14ac:dyDescent="0.2">
      <c r="A23" s="20" t="s">
        <v>183</v>
      </c>
    </row>
    <row r="24" spans="1:8" s="23" customFormat="1" ht="12.95" customHeight="1" x14ac:dyDescent="0.2">
      <c r="A24" s="22" t="s">
        <v>571</v>
      </c>
      <c r="B24" s="20"/>
      <c r="C24" s="72"/>
      <c r="D24" s="72"/>
      <c r="E24" s="20"/>
      <c r="F24" s="73" t="s">
        <v>599</v>
      </c>
      <c r="G24" s="74"/>
      <c r="H24" s="74"/>
    </row>
    <row r="25" spans="1:8" s="23" customFormat="1" ht="12.95" customHeight="1" x14ac:dyDescent="0.2">
      <c r="A25" s="30" t="s">
        <v>184</v>
      </c>
      <c r="B25" s="20"/>
      <c r="C25" s="71" t="s">
        <v>185</v>
      </c>
      <c r="D25" s="71"/>
      <c r="E25" s="20"/>
      <c r="F25" s="71" t="s">
        <v>186</v>
      </c>
      <c r="G25" s="71"/>
      <c r="H25" s="71"/>
    </row>
  </sheetData>
  <mergeCells count="15">
    <mergeCell ref="A1:H1"/>
    <mergeCell ref="A3:A4"/>
    <mergeCell ref="B3:B4"/>
    <mergeCell ref="C3:C4"/>
    <mergeCell ref="D3:E3"/>
    <mergeCell ref="F3:G3"/>
    <mergeCell ref="H3:H4"/>
    <mergeCell ref="C25:D25"/>
    <mergeCell ref="F25:H25"/>
    <mergeCell ref="A6:H6"/>
    <mergeCell ref="A12:H12"/>
    <mergeCell ref="A16:H16"/>
    <mergeCell ref="A20:H20"/>
    <mergeCell ref="C24:D24"/>
    <mergeCell ref="F24:H24"/>
  </mergeCells>
  <phoneticPr fontId="0" type="noConversion"/>
  <pageMargins left="0.25" right="0.25" top="0.75" bottom="0.75" header="0.3" footer="0.3"/>
  <pageSetup paperSize="9" scale="77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O71"/>
  <sheetViews>
    <sheetView workbookViewId="0">
      <selection activeCell="J25" sqref="J25:K25"/>
    </sheetView>
  </sheetViews>
  <sheetFormatPr defaultColWidth="8.7109375" defaultRowHeight="11.45" customHeight="1" x14ac:dyDescent="0.2"/>
  <cols>
    <col min="1" max="1" width="27.5703125" style="5" customWidth="1"/>
    <col min="2" max="15" width="8.7109375" style="5" customWidth="1"/>
    <col min="16" max="16384" width="8.7109375" style="9"/>
  </cols>
  <sheetData>
    <row r="1" spans="1:15" s="5" customFormat="1" ht="12.95" customHeight="1" x14ac:dyDescent="0.2">
      <c r="A1" s="71" t="s">
        <v>360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</row>
    <row r="2" spans="1:15" s="5" customFormat="1" ht="12.95" customHeight="1" x14ac:dyDescent="0.2">
      <c r="A2" s="90" t="s">
        <v>581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</row>
    <row r="3" spans="1:15" s="5" customFormat="1" ht="12.95" customHeight="1" x14ac:dyDescent="0.2">
      <c r="A3" s="71" t="s">
        <v>540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</row>
    <row r="4" spans="1:15" s="5" customFormat="1" ht="11.25" customHeight="1" x14ac:dyDescent="0.2">
      <c r="A4" s="129" t="s">
        <v>361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</row>
    <row r="5" spans="1:15" s="5" customFormat="1" ht="12.95" customHeight="1" x14ac:dyDescent="0.2">
      <c r="A5" s="117" t="s">
        <v>362</v>
      </c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</row>
    <row r="6" spans="1:15" s="5" customFormat="1" ht="3" customHeight="1" x14ac:dyDescent="0.2"/>
    <row r="7" spans="1:15" s="5" customFormat="1" ht="12.95" customHeight="1" x14ac:dyDescent="0.2">
      <c r="A7" s="93" t="s">
        <v>363</v>
      </c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</row>
    <row r="8" spans="1:15" s="5" customFormat="1" ht="66.75" customHeight="1" x14ac:dyDescent="0.2">
      <c r="A8" s="130" t="s">
        <v>583</v>
      </c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</row>
    <row r="9" spans="1:15" s="5" customFormat="1" ht="3.75" customHeight="1" x14ac:dyDescent="0.2"/>
    <row r="10" spans="1:15" s="5" customFormat="1" ht="61.5" customHeight="1" x14ac:dyDescent="0.2">
      <c r="A10" s="86" t="s">
        <v>42</v>
      </c>
      <c r="B10" s="86"/>
      <c r="C10" s="86"/>
      <c r="D10" s="86"/>
      <c r="E10" s="86"/>
      <c r="F10" s="101" t="s">
        <v>364</v>
      </c>
      <c r="G10" s="101"/>
      <c r="H10" s="101" t="s">
        <v>365</v>
      </c>
      <c r="I10" s="101"/>
      <c r="J10" s="101" t="s">
        <v>366</v>
      </c>
      <c r="K10" s="101"/>
      <c r="L10" s="101" t="s">
        <v>367</v>
      </c>
      <c r="M10" s="101"/>
      <c r="N10" s="101" t="s">
        <v>368</v>
      </c>
      <c r="O10" s="101"/>
    </row>
    <row r="11" spans="1:15" s="5" customFormat="1" ht="12.95" customHeight="1" x14ac:dyDescent="0.2">
      <c r="A11" s="128">
        <v>1</v>
      </c>
      <c r="B11" s="128"/>
      <c r="C11" s="128"/>
      <c r="D11" s="128"/>
      <c r="E11" s="128"/>
      <c r="F11" s="115">
        <v>2</v>
      </c>
      <c r="G11" s="115"/>
      <c r="H11" s="115">
        <v>3</v>
      </c>
      <c r="I11" s="115"/>
      <c r="J11" s="115">
        <v>4</v>
      </c>
      <c r="K11" s="115"/>
      <c r="L11" s="115">
        <v>5</v>
      </c>
      <c r="M11" s="115"/>
      <c r="N11" s="115">
        <v>6</v>
      </c>
      <c r="O11" s="115"/>
    </row>
    <row r="12" spans="1:15" s="5" customFormat="1" ht="50.25" customHeight="1" x14ac:dyDescent="0.2">
      <c r="A12" s="127" t="s">
        <v>369</v>
      </c>
      <c r="B12" s="127"/>
      <c r="C12" s="127"/>
      <c r="D12" s="127"/>
      <c r="E12" s="127"/>
      <c r="F12" s="124">
        <f>SUM(F13:G15)</f>
        <v>1891</v>
      </c>
      <c r="G12" s="124"/>
      <c r="H12" s="124">
        <f>SUM(H13:I15)</f>
        <v>1571</v>
      </c>
      <c r="I12" s="124"/>
      <c r="J12" s="124">
        <f>SUM(J13:K15)</f>
        <v>1677</v>
      </c>
      <c r="K12" s="124"/>
      <c r="L12" s="124">
        <f>J12-H12</f>
        <v>106</v>
      </c>
      <c r="M12" s="124"/>
      <c r="N12" s="125">
        <f>J12/H12*100</f>
        <v>106.74729471674094</v>
      </c>
      <c r="O12" s="125"/>
    </row>
    <row r="13" spans="1:15" s="5" customFormat="1" ht="12.75" customHeight="1" x14ac:dyDescent="0.2">
      <c r="A13" s="111" t="s">
        <v>179</v>
      </c>
      <c r="B13" s="111"/>
      <c r="C13" s="111"/>
      <c r="D13" s="111"/>
      <c r="E13" s="111"/>
      <c r="F13" s="105">
        <v>1</v>
      </c>
      <c r="G13" s="105"/>
      <c r="H13" s="105">
        <v>1</v>
      </c>
      <c r="I13" s="105"/>
      <c r="J13" s="105">
        <v>1</v>
      </c>
      <c r="K13" s="105"/>
      <c r="L13" s="105">
        <f t="shared" ref="L13:L27" si="0">J13-H13</f>
        <v>0</v>
      </c>
      <c r="M13" s="105"/>
      <c r="N13" s="119">
        <f t="shared" ref="N13:N27" si="1">J13/H13*100</f>
        <v>100</v>
      </c>
      <c r="O13" s="119"/>
    </row>
    <row r="14" spans="1:15" s="5" customFormat="1" ht="12.75" customHeight="1" x14ac:dyDescent="0.2">
      <c r="A14" s="111" t="s">
        <v>180</v>
      </c>
      <c r="B14" s="111"/>
      <c r="C14" s="111"/>
      <c r="D14" s="111"/>
      <c r="E14" s="111"/>
      <c r="F14" s="105">
        <v>192</v>
      </c>
      <c r="G14" s="105"/>
      <c r="H14" s="105">
        <v>199</v>
      </c>
      <c r="I14" s="105"/>
      <c r="J14" s="105">
        <v>208</v>
      </c>
      <c r="K14" s="105"/>
      <c r="L14" s="105">
        <f t="shared" si="0"/>
        <v>9</v>
      </c>
      <c r="M14" s="105"/>
      <c r="N14" s="119">
        <f t="shared" si="1"/>
        <v>104.52261306532664</v>
      </c>
      <c r="O14" s="119"/>
    </row>
    <row r="15" spans="1:15" s="5" customFormat="1" ht="12.75" customHeight="1" x14ac:dyDescent="0.2">
      <c r="A15" s="111" t="s">
        <v>181</v>
      </c>
      <c r="B15" s="111"/>
      <c r="C15" s="111"/>
      <c r="D15" s="111"/>
      <c r="E15" s="111"/>
      <c r="F15" s="105">
        <v>1698</v>
      </c>
      <c r="G15" s="105"/>
      <c r="H15" s="105">
        <v>1371</v>
      </c>
      <c r="I15" s="105"/>
      <c r="J15" s="105">
        <v>1468</v>
      </c>
      <c r="K15" s="105"/>
      <c r="L15" s="105">
        <f t="shared" si="0"/>
        <v>97</v>
      </c>
      <c r="M15" s="105"/>
      <c r="N15" s="119">
        <f t="shared" si="1"/>
        <v>107.07512764405543</v>
      </c>
      <c r="O15" s="119"/>
    </row>
    <row r="16" spans="1:15" s="5" customFormat="1" ht="10.5" customHeight="1" x14ac:dyDescent="0.2">
      <c r="A16" s="126" t="s">
        <v>544</v>
      </c>
      <c r="B16" s="127"/>
      <c r="C16" s="127"/>
      <c r="D16" s="127"/>
      <c r="E16" s="127"/>
      <c r="F16" s="124">
        <f>SUM(F17:G19)</f>
        <v>96096.299999999988</v>
      </c>
      <c r="G16" s="124"/>
      <c r="H16" s="124">
        <f>SUM(H17:I19)</f>
        <v>96085</v>
      </c>
      <c r="I16" s="124"/>
      <c r="J16" s="124">
        <f>SUM(J17:K19)</f>
        <v>105949.1</v>
      </c>
      <c r="K16" s="124"/>
      <c r="L16" s="124">
        <f t="shared" si="0"/>
        <v>9864.1000000000058</v>
      </c>
      <c r="M16" s="124"/>
      <c r="N16" s="125">
        <f t="shared" si="1"/>
        <v>110.26601446635792</v>
      </c>
      <c r="O16" s="125"/>
    </row>
    <row r="17" spans="1:15" s="5" customFormat="1" ht="12" customHeight="1" x14ac:dyDescent="0.2">
      <c r="A17" s="111" t="s">
        <v>179</v>
      </c>
      <c r="B17" s="111"/>
      <c r="C17" s="111"/>
      <c r="D17" s="111"/>
      <c r="E17" s="111"/>
      <c r="F17" s="105">
        <v>430</v>
      </c>
      <c r="G17" s="105"/>
      <c r="H17" s="105">
        <v>560</v>
      </c>
      <c r="I17" s="105"/>
      <c r="J17" s="105">
        <v>485.2</v>
      </c>
      <c r="K17" s="105"/>
      <c r="L17" s="105">
        <f t="shared" si="0"/>
        <v>-74.800000000000011</v>
      </c>
      <c r="M17" s="105"/>
      <c r="N17" s="119">
        <f t="shared" si="1"/>
        <v>86.642857142857139</v>
      </c>
      <c r="O17" s="119"/>
    </row>
    <row r="18" spans="1:15" s="5" customFormat="1" ht="12" customHeight="1" x14ac:dyDescent="0.2">
      <c r="A18" s="111" t="s">
        <v>180</v>
      </c>
      <c r="B18" s="111"/>
      <c r="C18" s="111"/>
      <c r="D18" s="111"/>
      <c r="E18" s="111"/>
      <c r="F18" s="105">
        <v>22358.9</v>
      </c>
      <c r="G18" s="105"/>
      <c r="H18" s="105">
        <v>23480</v>
      </c>
      <c r="I18" s="105"/>
      <c r="J18" s="105">
        <v>24397.9</v>
      </c>
      <c r="K18" s="105"/>
      <c r="L18" s="105">
        <f t="shared" si="0"/>
        <v>917.90000000000146</v>
      </c>
      <c r="M18" s="105"/>
      <c r="N18" s="119">
        <f t="shared" si="1"/>
        <v>103.90928449744463</v>
      </c>
      <c r="O18" s="119"/>
    </row>
    <row r="19" spans="1:15" s="5" customFormat="1" ht="12" customHeight="1" x14ac:dyDescent="0.2">
      <c r="A19" s="111" t="s">
        <v>181</v>
      </c>
      <c r="B19" s="111"/>
      <c r="C19" s="111"/>
      <c r="D19" s="111"/>
      <c r="E19" s="111"/>
      <c r="F19" s="105">
        <v>73307.399999999994</v>
      </c>
      <c r="G19" s="105"/>
      <c r="H19" s="105">
        <v>72045</v>
      </c>
      <c r="I19" s="105"/>
      <c r="J19" s="105">
        <v>81066</v>
      </c>
      <c r="K19" s="105"/>
      <c r="L19" s="105">
        <f t="shared" si="0"/>
        <v>9021</v>
      </c>
      <c r="M19" s="105"/>
      <c r="N19" s="119">
        <f t="shared" si="1"/>
        <v>112.52134082864875</v>
      </c>
      <c r="O19" s="119"/>
    </row>
    <row r="20" spans="1:15" s="5" customFormat="1" ht="12" customHeight="1" x14ac:dyDescent="0.2">
      <c r="A20" s="126" t="s">
        <v>545</v>
      </c>
      <c r="B20" s="127"/>
      <c r="C20" s="127"/>
      <c r="D20" s="127"/>
      <c r="E20" s="127"/>
      <c r="F20" s="124">
        <f>SUM(F21:G23)</f>
        <v>101105.9</v>
      </c>
      <c r="G20" s="124"/>
      <c r="H20" s="124">
        <f>SUM(H21:I23)</f>
        <v>96085</v>
      </c>
      <c r="I20" s="124"/>
      <c r="J20" s="124">
        <f>SUM(J21:K23)</f>
        <v>115120</v>
      </c>
      <c r="K20" s="124"/>
      <c r="L20" s="124">
        <f t="shared" si="0"/>
        <v>19035</v>
      </c>
      <c r="M20" s="124"/>
      <c r="N20" s="125">
        <f t="shared" si="1"/>
        <v>119.81058437841494</v>
      </c>
      <c r="O20" s="125"/>
    </row>
    <row r="21" spans="1:15" s="5" customFormat="1" ht="11.25" customHeight="1" x14ac:dyDescent="0.2">
      <c r="A21" s="111" t="s">
        <v>179</v>
      </c>
      <c r="B21" s="111"/>
      <c r="C21" s="111"/>
      <c r="D21" s="111"/>
      <c r="E21" s="111"/>
      <c r="F21" s="105">
        <v>430</v>
      </c>
      <c r="G21" s="105"/>
      <c r="H21" s="105">
        <v>560</v>
      </c>
      <c r="I21" s="105"/>
      <c r="J21" s="105">
        <v>485.2</v>
      </c>
      <c r="K21" s="105"/>
      <c r="L21" s="105">
        <f t="shared" si="0"/>
        <v>-74.800000000000011</v>
      </c>
      <c r="M21" s="105"/>
      <c r="N21" s="119">
        <f t="shared" si="1"/>
        <v>86.642857142857139</v>
      </c>
      <c r="O21" s="119"/>
    </row>
    <row r="22" spans="1:15" s="5" customFormat="1" ht="11.25" customHeight="1" x14ac:dyDescent="0.2">
      <c r="A22" s="111" t="s">
        <v>180</v>
      </c>
      <c r="B22" s="111"/>
      <c r="C22" s="111"/>
      <c r="D22" s="111"/>
      <c r="E22" s="111"/>
      <c r="F22" s="105">
        <v>22358.9</v>
      </c>
      <c r="G22" s="105"/>
      <c r="H22" s="105">
        <v>23480</v>
      </c>
      <c r="I22" s="105"/>
      <c r="J22" s="105">
        <v>24397.9</v>
      </c>
      <c r="K22" s="105"/>
      <c r="L22" s="105">
        <f t="shared" si="0"/>
        <v>917.90000000000146</v>
      </c>
      <c r="M22" s="105"/>
      <c r="N22" s="119">
        <f t="shared" si="1"/>
        <v>103.90928449744463</v>
      </c>
      <c r="O22" s="119"/>
    </row>
    <row r="23" spans="1:15" s="5" customFormat="1" ht="11.25" customHeight="1" x14ac:dyDescent="0.2">
      <c r="A23" s="111" t="s">
        <v>181</v>
      </c>
      <c r="B23" s="111"/>
      <c r="C23" s="111"/>
      <c r="D23" s="111"/>
      <c r="E23" s="111"/>
      <c r="F23" s="105">
        <v>78317</v>
      </c>
      <c r="G23" s="105"/>
      <c r="H23" s="105">
        <v>72045</v>
      </c>
      <c r="I23" s="105"/>
      <c r="J23" s="105">
        <v>90236.9</v>
      </c>
      <c r="K23" s="105"/>
      <c r="L23" s="105">
        <f t="shared" si="0"/>
        <v>18191.899999999994</v>
      </c>
      <c r="M23" s="105"/>
      <c r="N23" s="119">
        <f t="shared" si="1"/>
        <v>125.25074606148934</v>
      </c>
      <c r="O23" s="119"/>
    </row>
    <row r="24" spans="1:15" s="5" customFormat="1" ht="24" customHeight="1" x14ac:dyDescent="0.2">
      <c r="A24" s="126" t="s">
        <v>546</v>
      </c>
      <c r="B24" s="127"/>
      <c r="C24" s="127"/>
      <c r="D24" s="127"/>
      <c r="E24" s="127"/>
      <c r="F24" s="124">
        <f>F20/F12/12*1000</f>
        <v>4455.5746518596861</v>
      </c>
      <c r="G24" s="124"/>
      <c r="H24" s="124">
        <f>H20/H12/12*1000</f>
        <v>5096.806704858901</v>
      </c>
      <c r="I24" s="124"/>
      <c r="J24" s="124">
        <f>J20/J12/12*1000</f>
        <v>5720.5326972768835</v>
      </c>
      <c r="K24" s="124"/>
      <c r="L24" s="124">
        <f t="shared" si="0"/>
        <v>623.72599241798252</v>
      </c>
      <c r="M24" s="124"/>
      <c r="N24" s="125">
        <f t="shared" si="1"/>
        <v>112.2375838154382</v>
      </c>
      <c r="O24" s="125"/>
    </row>
    <row r="25" spans="1:15" s="5" customFormat="1" ht="12" customHeight="1" x14ac:dyDescent="0.2">
      <c r="A25" s="111" t="s">
        <v>179</v>
      </c>
      <c r="B25" s="111"/>
      <c r="C25" s="111"/>
      <c r="D25" s="111"/>
      <c r="E25" s="111"/>
      <c r="F25" s="105">
        <f>F21/F13/12*1000</f>
        <v>35833.333333333336</v>
      </c>
      <c r="G25" s="105"/>
      <c r="H25" s="105">
        <f>H21/H13/12*1000</f>
        <v>46666.666666666664</v>
      </c>
      <c r="I25" s="105"/>
      <c r="J25" s="105">
        <f>J21/J13/12*1000</f>
        <v>40433.333333333328</v>
      </c>
      <c r="K25" s="105"/>
      <c r="L25" s="105">
        <f t="shared" si="0"/>
        <v>-6233.3333333333358</v>
      </c>
      <c r="M25" s="105"/>
      <c r="N25" s="119">
        <f t="shared" si="1"/>
        <v>86.642857142857139</v>
      </c>
      <c r="O25" s="119"/>
    </row>
    <row r="26" spans="1:15" s="5" customFormat="1" ht="12" customHeight="1" x14ac:dyDescent="0.2">
      <c r="A26" s="111" t="s">
        <v>180</v>
      </c>
      <c r="B26" s="111"/>
      <c r="C26" s="111"/>
      <c r="D26" s="111"/>
      <c r="E26" s="111"/>
      <c r="F26" s="105">
        <f>F22/F14/12*1000</f>
        <v>9704.3836805555566</v>
      </c>
      <c r="G26" s="105"/>
      <c r="H26" s="105">
        <f>H22/H14/12*1000</f>
        <v>9832.4958123953093</v>
      </c>
      <c r="I26" s="105"/>
      <c r="J26" s="105">
        <f>J22/J14/12*1000</f>
        <v>9774.7996794871797</v>
      </c>
      <c r="K26" s="105"/>
      <c r="L26" s="105">
        <f t="shared" si="0"/>
        <v>-57.696132908129584</v>
      </c>
      <c r="M26" s="105"/>
      <c r="N26" s="119">
        <f t="shared" si="1"/>
        <v>99.413209687459059</v>
      </c>
      <c r="O26" s="119"/>
    </row>
    <row r="27" spans="1:15" s="5" customFormat="1" ht="12" customHeight="1" x14ac:dyDescent="0.2">
      <c r="A27" s="111" t="s">
        <v>181</v>
      </c>
      <c r="B27" s="111"/>
      <c r="C27" s="111"/>
      <c r="D27" s="111"/>
      <c r="E27" s="111"/>
      <c r="F27" s="105">
        <f>F23/F15/12*1000</f>
        <v>3843.5904986258342</v>
      </c>
      <c r="G27" s="105"/>
      <c r="H27" s="105">
        <f>H23/H15/12*1000</f>
        <v>4379.1028446389491</v>
      </c>
      <c r="I27" s="105"/>
      <c r="J27" s="105">
        <f>J23/J15/12*1000</f>
        <v>5122.4398274296091</v>
      </c>
      <c r="K27" s="105"/>
      <c r="L27" s="105">
        <f t="shared" si="0"/>
        <v>743.33698279065993</v>
      </c>
      <c r="M27" s="105"/>
      <c r="N27" s="119">
        <f t="shared" si="1"/>
        <v>116.97464090620019</v>
      </c>
      <c r="O27" s="119"/>
    </row>
    <row r="28" spans="1:15" s="5" customFormat="1" ht="3" customHeight="1" x14ac:dyDescent="0.2"/>
    <row r="29" spans="1:15" s="5" customFormat="1" ht="18" customHeight="1" x14ac:dyDescent="0.2">
      <c r="A29" s="120" t="s">
        <v>370</v>
      </c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</row>
    <row r="30" spans="1:15" s="5" customFormat="1" ht="29.25" customHeight="1" x14ac:dyDescent="0.2">
      <c r="A30" s="122" t="s">
        <v>584</v>
      </c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</row>
    <row r="31" spans="1:15" s="5" customFormat="1" ht="13.5" customHeight="1" x14ac:dyDescent="0.2">
      <c r="A31" s="33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1:15" s="5" customFormat="1" ht="10.5" customHeight="1" x14ac:dyDescent="0.2">
      <c r="A32" s="117" t="s">
        <v>371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</row>
    <row r="33" spans="1:15" s="5" customFormat="1" ht="12.95" customHeight="1" x14ac:dyDescent="0.2">
      <c r="A33" s="46" t="s">
        <v>372</v>
      </c>
      <c r="B33" s="101" t="s">
        <v>373</v>
      </c>
      <c r="C33" s="101"/>
      <c r="D33" s="101"/>
      <c r="E33" s="101"/>
      <c r="F33" s="101" t="s">
        <v>374</v>
      </c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5" s="5" customFormat="1" ht="10.5" customHeight="1" x14ac:dyDescent="0.2">
      <c r="A34" s="50">
        <v>1</v>
      </c>
      <c r="B34" s="115">
        <v>2</v>
      </c>
      <c r="C34" s="115"/>
      <c r="D34" s="115"/>
      <c r="E34" s="115"/>
      <c r="F34" s="115">
        <v>3</v>
      </c>
      <c r="G34" s="115"/>
      <c r="H34" s="115"/>
      <c r="I34" s="115"/>
      <c r="J34" s="115"/>
      <c r="K34" s="115"/>
      <c r="L34" s="115"/>
      <c r="M34" s="115"/>
      <c r="N34" s="115"/>
      <c r="O34" s="115"/>
    </row>
    <row r="35" spans="1:15" s="5" customFormat="1" ht="12.75" customHeight="1" x14ac:dyDescent="0.2">
      <c r="A35" s="46"/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</row>
    <row r="36" spans="1:15" s="5" customFormat="1" ht="12.75" customHeight="1" x14ac:dyDescent="0.2">
      <c r="A36" s="46"/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</row>
    <row r="37" spans="1:15" s="5" customFormat="1" ht="9" customHeight="1" x14ac:dyDescent="0.2"/>
    <row r="38" spans="1:15" s="5" customFormat="1" ht="12.95" customHeight="1" x14ac:dyDescent="0.2">
      <c r="A38" s="117" t="s">
        <v>375</v>
      </c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</row>
    <row r="39" spans="1:15" s="5" customFormat="1" ht="5.25" customHeight="1" x14ac:dyDescent="0.2"/>
    <row r="40" spans="1:15" s="5" customFormat="1" ht="12.95" customHeight="1" x14ac:dyDescent="0.2">
      <c r="A40" s="101" t="s">
        <v>376</v>
      </c>
      <c r="B40" s="101"/>
      <c r="C40" s="101"/>
      <c r="D40" s="101" t="s">
        <v>377</v>
      </c>
      <c r="E40" s="101"/>
      <c r="F40" s="101"/>
      <c r="G40" s="101" t="s">
        <v>378</v>
      </c>
      <c r="H40" s="101"/>
      <c r="I40" s="101"/>
      <c r="J40" s="101" t="s">
        <v>379</v>
      </c>
      <c r="K40" s="101"/>
      <c r="L40" s="101"/>
      <c r="M40" s="87" t="s">
        <v>380</v>
      </c>
      <c r="N40" s="87"/>
      <c r="O40" s="101" t="s">
        <v>381</v>
      </c>
    </row>
    <row r="41" spans="1:15" s="5" customFormat="1" ht="114" customHeight="1" x14ac:dyDescent="0.2">
      <c r="A41" s="101"/>
      <c r="B41" s="101"/>
      <c r="C41" s="101"/>
      <c r="D41" s="46" t="s">
        <v>382</v>
      </c>
      <c r="E41" s="46" t="s">
        <v>383</v>
      </c>
      <c r="F41" s="46" t="s">
        <v>384</v>
      </c>
      <c r="G41" s="46" t="s">
        <v>382</v>
      </c>
      <c r="H41" s="46" t="s">
        <v>383</v>
      </c>
      <c r="I41" s="46" t="s">
        <v>384</v>
      </c>
      <c r="J41" s="46" t="s">
        <v>382</v>
      </c>
      <c r="K41" s="46" t="s">
        <v>383</v>
      </c>
      <c r="L41" s="46" t="s">
        <v>384</v>
      </c>
      <c r="M41" s="46" t="s">
        <v>385</v>
      </c>
      <c r="N41" s="46" t="s">
        <v>386</v>
      </c>
      <c r="O41" s="101"/>
    </row>
    <row r="42" spans="1:15" s="5" customFormat="1" ht="12" customHeight="1" x14ac:dyDescent="0.2">
      <c r="A42" s="115">
        <v>1</v>
      </c>
      <c r="B42" s="115"/>
      <c r="C42" s="115"/>
      <c r="D42" s="50">
        <v>2</v>
      </c>
      <c r="E42" s="50">
        <v>3</v>
      </c>
      <c r="F42" s="50">
        <v>4</v>
      </c>
      <c r="G42" s="50">
        <v>5</v>
      </c>
      <c r="H42" s="50">
        <v>6</v>
      </c>
      <c r="I42" s="50">
        <v>7</v>
      </c>
      <c r="J42" s="50">
        <v>8</v>
      </c>
      <c r="K42" s="50">
        <v>9</v>
      </c>
      <c r="L42" s="50">
        <v>10</v>
      </c>
      <c r="M42" s="50">
        <v>11</v>
      </c>
      <c r="N42" s="50">
        <v>12</v>
      </c>
      <c r="O42" s="50">
        <v>13</v>
      </c>
    </row>
    <row r="43" spans="1:15" s="5" customFormat="1" ht="9.75" customHeight="1" x14ac:dyDescent="0.2">
      <c r="A43" s="106" t="s">
        <v>387</v>
      </c>
      <c r="B43" s="106"/>
      <c r="C43" s="106"/>
      <c r="D43" s="65">
        <v>27205</v>
      </c>
      <c r="E43" s="66">
        <v>390</v>
      </c>
      <c r="F43" s="59" t="s">
        <v>457</v>
      </c>
      <c r="G43" s="65">
        <v>16382</v>
      </c>
      <c r="H43" s="65">
        <v>304.60000000000002</v>
      </c>
      <c r="I43" s="59" t="s">
        <v>457</v>
      </c>
      <c r="J43" s="65">
        <f t="shared" ref="J43:K45" si="2">G43-D43</f>
        <v>-10823</v>
      </c>
      <c r="K43" s="65">
        <f t="shared" si="2"/>
        <v>-85.399999999999977</v>
      </c>
      <c r="L43" s="59" t="s">
        <v>457</v>
      </c>
      <c r="M43" s="65">
        <f>G43/D43*100</f>
        <v>60.216871898548064</v>
      </c>
      <c r="N43" s="65">
        <f>H43/E43*100</f>
        <v>78.102564102564116</v>
      </c>
      <c r="O43" s="59" t="s">
        <v>457</v>
      </c>
    </row>
    <row r="44" spans="1:15" s="5" customFormat="1" ht="11.25" customHeight="1" x14ac:dyDescent="0.2">
      <c r="A44" s="106" t="s">
        <v>388</v>
      </c>
      <c r="B44" s="106"/>
      <c r="C44" s="106"/>
      <c r="D44" s="65">
        <v>480310</v>
      </c>
      <c r="E44" s="65">
        <v>1150</v>
      </c>
      <c r="F44" s="59" t="s">
        <v>457</v>
      </c>
      <c r="G44" s="65">
        <v>501325</v>
      </c>
      <c r="H44" s="65">
        <v>1091.9000000000001</v>
      </c>
      <c r="I44" s="59" t="s">
        <v>457</v>
      </c>
      <c r="J44" s="65">
        <f t="shared" si="2"/>
        <v>21015</v>
      </c>
      <c r="K44" s="65">
        <f t="shared" si="2"/>
        <v>-58.099999999999909</v>
      </c>
      <c r="L44" s="59" t="s">
        <v>457</v>
      </c>
      <c r="M44" s="65">
        <f>G44/D44*100</f>
        <v>104.37529928587787</v>
      </c>
      <c r="N44" s="65">
        <f>H44/E44*100</f>
        <v>94.947826086956539</v>
      </c>
      <c r="O44" s="59" t="s">
        <v>457</v>
      </c>
    </row>
    <row r="45" spans="1:15" s="5" customFormat="1" ht="11.25" customHeight="1" x14ac:dyDescent="0.2">
      <c r="A45" s="106" t="s">
        <v>389</v>
      </c>
      <c r="B45" s="106"/>
      <c r="C45" s="106"/>
      <c r="D45" s="65">
        <v>107305</v>
      </c>
      <c r="E45" s="66">
        <v>10</v>
      </c>
      <c r="F45" s="59" t="s">
        <v>457</v>
      </c>
      <c r="G45" s="65">
        <v>168057</v>
      </c>
      <c r="H45" s="65">
        <v>15</v>
      </c>
      <c r="I45" s="59" t="s">
        <v>457</v>
      </c>
      <c r="J45" s="65">
        <f t="shared" si="2"/>
        <v>60752</v>
      </c>
      <c r="K45" s="65">
        <f t="shared" si="2"/>
        <v>5</v>
      </c>
      <c r="L45" s="59" t="s">
        <v>457</v>
      </c>
      <c r="M45" s="65" t="s">
        <v>457</v>
      </c>
      <c r="N45" s="65" t="s">
        <v>457</v>
      </c>
      <c r="O45" s="59" t="s">
        <v>457</v>
      </c>
    </row>
    <row r="46" spans="1:15" s="5" customFormat="1" ht="11.25" customHeight="1" x14ac:dyDescent="0.2">
      <c r="A46" s="106" t="s">
        <v>390</v>
      </c>
      <c r="B46" s="106"/>
      <c r="C46" s="106"/>
      <c r="D46" s="65">
        <v>26700</v>
      </c>
      <c r="E46" s="59" t="s">
        <v>457</v>
      </c>
      <c r="F46" s="59" t="s">
        <v>457</v>
      </c>
      <c r="G46" s="65">
        <v>46491.3</v>
      </c>
      <c r="H46" s="67" t="s">
        <v>585</v>
      </c>
      <c r="I46" s="59" t="s">
        <v>457</v>
      </c>
      <c r="J46" s="65">
        <f>G46-D46</f>
        <v>19791.300000000003</v>
      </c>
      <c r="K46" s="65"/>
      <c r="L46" s="59" t="s">
        <v>457</v>
      </c>
      <c r="M46" s="65">
        <f>G46/D46*100</f>
        <v>174.12471910112362</v>
      </c>
      <c r="N46" s="65" t="s">
        <v>457</v>
      </c>
      <c r="O46" s="59" t="s">
        <v>457</v>
      </c>
    </row>
    <row r="47" spans="1:15" s="5" customFormat="1" ht="10.5" customHeight="1" x14ac:dyDescent="0.2">
      <c r="A47" s="106" t="s">
        <v>306</v>
      </c>
      <c r="B47" s="106"/>
      <c r="C47" s="106"/>
      <c r="D47" s="65">
        <v>35050</v>
      </c>
      <c r="E47" s="59" t="s">
        <v>457</v>
      </c>
      <c r="F47" s="59" t="s">
        <v>457</v>
      </c>
      <c r="G47" s="65">
        <v>48784.7</v>
      </c>
      <c r="H47" s="65" t="s">
        <v>457</v>
      </c>
      <c r="I47" s="59" t="s">
        <v>457</v>
      </c>
      <c r="J47" s="65">
        <f>G47-D47</f>
        <v>13734.699999999997</v>
      </c>
      <c r="K47" s="65"/>
      <c r="L47" s="59" t="s">
        <v>457</v>
      </c>
      <c r="M47" s="65">
        <f>G47/D47*100</f>
        <v>139.18601997146931</v>
      </c>
      <c r="N47" s="65" t="s">
        <v>457</v>
      </c>
      <c r="O47" s="59" t="s">
        <v>457</v>
      </c>
    </row>
    <row r="48" spans="1:15" s="5" customFormat="1" ht="12" customHeight="1" x14ac:dyDescent="0.2">
      <c r="A48" s="101" t="s">
        <v>96</v>
      </c>
      <c r="B48" s="101"/>
      <c r="C48" s="101"/>
      <c r="D48" s="65">
        <f>SUM(D43:D47)</f>
        <v>676570</v>
      </c>
      <c r="E48" s="59" t="s">
        <v>457</v>
      </c>
      <c r="F48" s="59" t="s">
        <v>457</v>
      </c>
      <c r="G48" s="65">
        <f>SUM(G43:G47)</f>
        <v>781040</v>
      </c>
      <c r="H48" s="65" t="s">
        <v>457</v>
      </c>
      <c r="I48" s="59" t="s">
        <v>457</v>
      </c>
      <c r="J48" s="65">
        <f>SUM(J43:J47)</f>
        <v>104470</v>
      </c>
      <c r="K48" s="65" t="s">
        <v>457</v>
      </c>
      <c r="L48" s="59" t="s">
        <v>457</v>
      </c>
      <c r="M48" s="65">
        <f>G48/D48*100</f>
        <v>115.44112213074776</v>
      </c>
      <c r="N48" s="65" t="s">
        <v>457</v>
      </c>
      <c r="O48" s="59" t="s">
        <v>457</v>
      </c>
    </row>
    <row r="49" spans="1:15" s="5" customFormat="1" ht="8.25" customHeight="1" x14ac:dyDescent="0.2"/>
    <row r="50" spans="1:15" s="5" customFormat="1" ht="12.95" customHeight="1" x14ac:dyDescent="0.2">
      <c r="A50" s="117" t="s">
        <v>391</v>
      </c>
      <c r="B50" s="117"/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</row>
    <row r="51" spans="1:15" s="5" customFormat="1" ht="8.1" customHeight="1" x14ac:dyDescent="0.2"/>
    <row r="52" spans="1:15" s="5" customFormat="1" ht="38.1" customHeight="1" x14ac:dyDescent="0.2">
      <c r="A52" s="46" t="s">
        <v>392</v>
      </c>
      <c r="B52" s="101" t="s">
        <v>393</v>
      </c>
      <c r="C52" s="101"/>
      <c r="D52" s="101" t="s">
        <v>394</v>
      </c>
      <c r="E52" s="101"/>
      <c r="F52" s="101" t="s">
        <v>395</v>
      </c>
      <c r="G52" s="101"/>
      <c r="H52" s="101" t="s">
        <v>396</v>
      </c>
      <c r="I52" s="101"/>
      <c r="J52" s="101"/>
      <c r="K52" s="104" t="s">
        <v>531</v>
      </c>
      <c r="L52" s="101"/>
      <c r="M52" s="101" t="s">
        <v>397</v>
      </c>
      <c r="N52" s="101"/>
      <c r="O52" s="101"/>
    </row>
    <row r="53" spans="1:15" s="5" customFormat="1" ht="12.95" customHeight="1" x14ac:dyDescent="0.2">
      <c r="A53" s="50">
        <v>1</v>
      </c>
      <c r="B53" s="115">
        <v>2</v>
      </c>
      <c r="C53" s="115"/>
      <c r="D53" s="115">
        <v>3</v>
      </c>
      <c r="E53" s="115"/>
      <c r="F53" s="115">
        <v>4</v>
      </c>
      <c r="G53" s="115"/>
      <c r="H53" s="115">
        <v>5</v>
      </c>
      <c r="I53" s="115"/>
      <c r="J53" s="115"/>
      <c r="K53" s="115">
        <v>6</v>
      </c>
      <c r="L53" s="115"/>
      <c r="M53" s="115">
        <v>7</v>
      </c>
      <c r="N53" s="115"/>
      <c r="O53" s="115"/>
    </row>
    <row r="54" spans="1:15" s="5" customFormat="1" ht="24" customHeight="1" x14ac:dyDescent="0.2">
      <c r="A54" s="48" t="s">
        <v>398</v>
      </c>
      <c r="B54" s="101" t="s">
        <v>399</v>
      </c>
      <c r="C54" s="101"/>
      <c r="D54" s="104" t="s">
        <v>561</v>
      </c>
      <c r="E54" s="101"/>
      <c r="F54" s="101"/>
      <c r="G54" s="101"/>
      <c r="H54" s="101" t="s">
        <v>400</v>
      </c>
      <c r="I54" s="101"/>
      <c r="J54" s="101"/>
      <c r="K54" s="118">
        <v>1950</v>
      </c>
      <c r="L54" s="101"/>
      <c r="M54" s="101"/>
      <c r="N54" s="101"/>
      <c r="O54" s="101"/>
    </row>
    <row r="55" spans="1:15" s="5" customFormat="1" ht="39.75" customHeight="1" x14ac:dyDescent="0.2">
      <c r="A55" s="48" t="s">
        <v>559</v>
      </c>
      <c r="B55" s="101" t="s">
        <v>560</v>
      </c>
      <c r="C55" s="101"/>
      <c r="D55" s="101" t="s">
        <v>562</v>
      </c>
      <c r="E55" s="101"/>
      <c r="F55" s="101" t="s">
        <v>567</v>
      </c>
      <c r="G55" s="101"/>
      <c r="H55" s="101" t="s">
        <v>568</v>
      </c>
      <c r="I55" s="101"/>
      <c r="J55" s="101"/>
      <c r="K55" s="118">
        <v>0</v>
      </c>
      <c r="L55" s="101"/>
      <c r="M55" s="101" t="s">
        <v>569</v>
      </c>
      <c r="N55" s="101"/>
      <c r="O55" s="101"/>
    </row>
    <row r="56" spans="1:15" s="5" customFormat="1" ht="12.95" customHeight="1" x14ac:dyDescent="0.2">
      <c r="A56" s="46" t="s">
        <v>96</v>
      </c>
      <c r="B56" s="101" t="s">
        <v>401</v>
      </c>
      <c r="C56" s="101"/>
      <c r="D56" s="101" t="s">
        <v>401</v>
      </c>
      <c r="E56" s="101"/>
      <c r="F56" s="104" t="s">
        <v>401</v>
      </c>
      <c r="G56" s="101"/>
      <c r="H56" s="101" t="s">
        <v>401</v>
      </c>
      <c r="I56" s="101"/>
      <c r="J56" s="101"/>
      <c r="K56" s="118">
        <f>K54+K55</f>
        <v>1950</v>
      </c>
      <c r="L56" s="101"/>
      <c r="M56" s="101" t="s">
        <v>401</v>
      </c>
      <c r="N56" s="101"/>
      <c r="O56" s="101"/>
    </row>
    <row r="57" spans="1:15" s="5" customFormat="1" ht="8.25" customHeight="1" x14ac:dyDescent="0.2"/>
    <row r="58" spans="1:15" s="5" customFormat="1" ht="12.95" customHeight="1" x14ac:dyDescent="0.2">
      <c r="A58" s="117" t="s">
        <v>402</v>
      </c>
      <c r="B58" s="117"/>
      <c r="C58" s="117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</row>
    <row r="59" spans="1:15" s="5" customFormat="1" ht="5.25" customHeight="1" x14ac:dyDescent="0.2"/>
    <row r="60" spans="1:15" s="5" customFormat="1" ht="26.1" customHeight="1" x14ac:dyDescent="0.2">
      <c r="A60" s="116" t="s">
        <v>403</v>
      </c>
      <c r="B60" s="116"/>
      <c r="C60" s="116"/>
      <c r="D60" s="116" t="s">
        <v>404</v>
      </c>
      <c r="E60" s="116"/>
      <c r="F60" s="101" t="s">
        <v>405</v>
      </c>
      <c r="G60" s="101"/>
      <c r="H60" s="101"/>
      <c r="I60" s="101"/>
      <c r="J60" s="116" t="s">
        <v>406</v>
      </c>
      <c r="K60" s="116"/>
      <c r="L60" s="116"/>
      <c r="M60" s="116"/>
      <c r="N60" s="84" t="s">
        <v>407</v>
      </c>
      <c r="O60" s="84"/>
    </row>
    <row r="61" spans="1:15" s="5" customFormat="1" ht="24.95" customHeight="1" x14ac:dyDescent="0.2">
      <c r="A61" s="116"/>
      <c r="B61" s="116"/>
      <c r="C61" s="116"/>
      <c r="D61" s="116"/>
      <c r="E61" s="116"/>
      <c r="F61" s="116" t="s">
        <v>47</v>
      </c>
      <c r="G61" s="116"/>
      <c r="H61" s="116" t="s">
        <v>48</v>
      </c>
      <c r="I61" s="116"/>
      <c r="J61" s="116" t="s">
        <v>47</v>
      </c>
      <c r="K61" s="116"/>
      <c r="L61" s="116" t="s">
        <v>48</v>
      </c>
      <c r="M61" s="116"/>
      <c r="N61" s="84"/>
      <c r="O61" s="84"/>
    </row>
    <row r="62" spans="1:15" s="5" customFormat="1" ht="12.95" customHeight="1" x14ac:dyDescent="0.2">
      <c r="A62" s="115">
        <v>1</v>
      </c>
      <c r="B62" s="115"/>
      <c r="C62" s="115"/>
      <c r="D62" s="115">
        <v>2</v>
      </c>
      <c r="E62" s="115"/>
      <c r="F62" s="115">
        <v>3</v>
      </c>
      <c r="G62" s="115"/>
      <c r="H62" s="115">
        <v>4</v>
      </c>
      <c r="I62" s="115"/>
      <c r="J62" s="115">
        <v>5</v>
      </c>
      <c r="K62" s="115"/>
      <c r="L62" s="115">
        <v>6</v>
      </c>
      <c r="M62" s="115"/>
      <c r="N62" s="115">
        <v>7</v>
      </c>
      <c r="O62" s="115"/>
    </row>
    <row r="63" spans="1:15" s="5" customFormat="1" ht="12.95" customHeight="1" x14ac:dyDescent="0.2">
      <c r="A63" s="106" t="s">
        <v>408</v>
      </c>
      <c r="B63" s="106"/>
      <c r="C63" s="106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</row>
    <row r="64" spans="1:15" s="5" customFormat="1" ht="12" customHeight="1" x14ac:dyDescent="0.2">
      <c r="A64" s="106" t="s">
        <v>409</v>
      </c>
      <c r="B64" s="106"/>
      <c r="C64" s="106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</row>
    <row r="65" spans="1:15" s="5" customFormat="1" ht="12.95" customHeight="1" x14ac:dyDescent="0.2">
      <c r="A65" s="106" t="s">
        <v>410</v>
      </c>
      <c r="B65" s="106"/>
      <c r="C65" s="106"/>
      <c r="D65" s="110">
        <f>D67</f>
        <v>0</v>
      </c>
      <c r="E65" s="110"/>
      <c r="F65" s="110">
        <f>F67</f>
        <v>30000</v>
      </c>
      <c r="G65" s="110"/>
      <c r="H65" s="110">
        <f>H67</f>
        <v>25000</v>
      </c>
      <c r="I65" s="110"/>
      <c r="J65" s="110">
        <f>J67</f>
        <v>30000</v>
      </c>
      <c r="K65" s="110"/>
      <c r="L65" s="110">
        <f>L67</f>
        <v>25000</v>
      </c>
      <c r="M65" s="110"/>
      <c r="N65" s="110">
        <f>N67</f>
        <v>0</v>
      </c>
      <c r="O65" s="110"/>
    </row>
    <row r="66" spans="1:15" s="5" customFormat="1" ht="12.95" customHeight="1" x14ac:dyDescent="0.2">
      <c r="A66" s="106" t="s">
        <v>409</v>
      </c>
      <c r="B66" s="106"/>
      <c r="C66" s="111"/>
      <c r="D66" s="112"/>
      <c r="E66" s="112"/>
      <c r="F66" s="105"/>
      <c r="G66" s="105"/>
      <c r="H66" s="105"/>
      <c r="I66" s="105"/>
      <c r="J66" s="105"/>
      <c r="K66" s="105"/>
      <c r="L66" s="105"/>
      <c r="M66" s="105"/>
      <c r="N66" s="105"/>
      <c r="O66" s="105"/>
    </row>
    <row r="67" spans="1:15" s="5" customFormat="1" ht="12.95" customHeight="1" x14ac:dyDescent="0.2">
      <c r="A67" s="113" t="s">
        <v>551</v>
      </c>
      <c r="B67" s="106"/>
      <c r="C67" s="106"/>
      <c r="D67" s="114">
        <v>0</v>
      </c>
      <c r="E67" s="114"/>
      <c r="F67" s="105">
        <v>30000</v>
      </c>
      <c r="G67" s="105"/>
      <c r="H67" s="105">
        <v>25000</v>
      </c>
      <c r="I67" s="105"/>
      <c r="J67" s="105">
        <v>30000</v>
      </c>
      <c r="K67" s="105"/>
      <c r="L67" s="105">
        <v>25000</v>
      </c>
      <c r="M67" s="105"/>
      <c r="N67" s="105">
        <f>D67+H67-L67</f>
        <v>0</v>
      </c>
      <c r="O67" s="105"/>
    </row>
    <row r="68" spans="1:15" s="5" customFormat="1" ht="12.95" customHeight="1" x14ac:dyDescent="0.2">
      <c r="A68" s="106" t="s">
        <v>411</v>
      </c>
      <c r="B68" s="106"/>
      <c r="C68" s="106"/>
      <c r="D68" s="105">
        <v>5200</v>
      </c>
      <c r="E68" s="105"/>
      <c r="F68" s="105">
        <f>SUM(F70:G70)</f>
        <v>0</v>
      </c>
      <c r="G68" s="105"/>
      <c r="H68" s="105">
        <f>SUM(H70:I70)</f>
        <v>0</v>
      </c>
      <c r="I68" s="105"/>
      <c r="J68" s="105">
        <f>SUM(J70:K70)</f>
        <v>4200</v>
      </c>
      <c r="K68" s="105"/>
      <c r="L68" s="105">
        <v>3250</v>
      </c>
      <c r="M68" s="105"/>
      <c r="N68" s="105">
        <f>SUM(N70:O70)</f>
        <v>1950</v>
      </c>
      <c r="O68" s="105"/>
    </row>
    <row r="69" spans="1:15" s="5" customFormat="1" ht="12.95" customHeight="1" x14ac:dyDescent="0.2">
      <c r="A69" s="106" t="s">
        <v>409</v>
      </c>
      <c r="B69" s="106"/>
      <c r="C69" s="106"/>
      <c r="D69" s="107"/>
      <c r="E69" s="107"/>
      <c r="F69" s="109"/>
      <c r="G69" s="109"/>
      <c r="H69" s="108"/>
      <c r="I69" s="108"/>
      <c r="J69" s="107"/>
      <c r="K69" s="107"/>
      <c r="L69" s="109"/>
      <c r="M69" s="109"/>
      <c r="N69" s="109"/>
      <c r="O69" s="109"/>
    </row>
    <row r="70" spans="1:15" s="5" customFormat="1" ht="12.95" customHeight="1" x14ac:dyDescent="0.2">
      <c r="A70" s="106" t="s">
        <v>398</v>
      </c>
      <c r="B70" s="106"/>
      <c r="C70" s="106"/>
      <c r="D70" s="105">
        <v>5200</v>
      </c>
      <c r="E70" s="105"/>
      <c r="F70" s="105">
        <v>0</v>
      </c>
      <c r="G70" s="105"/>
      <c r="H70" s="105">
        <v>0</v>
      </c>
      <c r="I70" s="105"/>
      <c r="J70" s="105">
        <v>4200</v>
      </c>
      <c r="K70" s="105"/>
      <c r="L70" s="105">
        <v>3250</v>
      </c>
      <c r="M70" s="105"/>
      <c r="N70" s="105">
        <f>D70+H70-L70</f>
        <v>1950</v>
      </c>
      <c r="O70" s="105"/>
    </row>
    <row r="71" spans="1:15" s="5" customFormat="1" ht="12.95" customHeight="1" x14ac:dyDescent="0.2">
      <c r="A71" s="106" t="s">
        <v>96</v>
      </c>
      <c r="B71" s="106"/>
      <c r="C71" s="106"/>
      <c r="D71" s="105">
        <f>D65+D68</f>
        <v>5200</v>
      </c>
      <c r="E71" s="105"/>
      <c r="F71" s="105">
        <f>F65+F68</f>
        <v>30000</v>
      </c>
      <c r="G71" s="105"/>
      <c r="H71" s="105">
        <f>H65+H68</f>
        <v>25000</v>
      </c>
      <c r="I71" s="105"/>
      <c r="J71" s="105">
        <f>J65+J68</f>
        <v>34200</v>
      </c>
      <c r="K71" s="105"/>
      <c r="L71" s="105">
        <f>L65+L68</f>
        <v>28250</v>
      </c>
      <c r="M71" s="105"/>
      <c r="N71" s="105">
        <f>N65+N68</f>
        <v>1950</v>
      </c>
      <c r="O71" s="105"/>
    </row>
  </sheetData>
  <mergeCells count="251">
    <mergeCell ref="H11:I11"/>
    <mergeCell ref="J11:K11"/>
    <mergeCell ref="H12:I12"/>
    <mergeCell ref="J12:K12"/>
    <mergeCell ref="H10:I10"/>
    <mergeCell ref="J10:K10"/>
    <mergeCell ref="L10:M10"/>
    <mergeCell ref="N10:O10"/>
    <mergeCell ref="A1:O1"/>
    <mergeCell ref="A2:O2"/>
    <mergeCell ref="A3:O3"/>
    <mergeCell ref="A4:O4"/>
    <mergeCell ref="A5:O5"/>
    <mergeCell ref="A7:O7"/>
    <mergeCell ref="A8:O8"/>
    <mergeCell ref="A10:E10"/>
    <mergeCell ref="F10:G10"/>
    <mergeCell ref="L18:M18"/>
    <mergeCell ref="N18:O18"/>
    <mergeCell ref="A18:E18"/>
    <mergeCell ref="F18:G18"/>
    <mergeCell ref="L11:M11"/>
    <mergeCell ref="N11:O11"/>
    <mergeCell ref="H14:I14"/>
    <mergeCell ref="J14:K14"/>
    <mergeCell ref="L12:M12"/>
    <mergeCell ref="N12:O12"/>
    <mergeCell ref="L14:M14"/>
    <mergeCell ref="N14:O14"/>
    <mergeCell ref="A13:E13"/>
    <mergeCell ref="F13:G13"/>
    <mergeCell ref="H13:I13"/>
    <mergeCell ref="J13:K13"/>
    <mergeCell ref="L13:M13"/>
    <mergeCell ref="N13:O13"/>
    <mergeCell ref="A14:E14"/>
    <mergeCell ref="F14:G14"/>
    <mergeCell ref="A12:E12"/>
    <mergeCell ref="F12:G12"/>
    <mergeCell ref="A11:E11"/>
    <mergeCell ref="F11:G11"/>
    <mergeCell ref="L15:M15"/>
    <mergeCell ref="N15:O15"/>
    <mergeCell ref="A17:E17"/>
    <mergeCell ref="F17:G17"/>
    <mergeCell ref="H17:I17"/>
    <mergeCell ref="J17:K17"/>
    <mergeCell ref="L16:M16"/>
    <mergeCell ref="N16:O16"/>
    <mergeCell ref="A16:E16"/>
    <mergeCell ref="F16:G16"/>
    <mergeCell ref="H16:I16"/>
    <mergeCell ref="J16:K16"/>
    <mergeCell ref="A15:E15"/>
    <mergeCell ref="F15:G15"/>
    <mergeCell ref="H15:I15"/>
    <mergeCell ref="J15:K15"/>
    <mergeCell ref="L17:M17"/>
    <mergeCell ref="N17:O17"/>
    <mergeCell ref="H18:I18"/>
    <mergeCell ref="J18:K18"/>
    <mergeCell ref="L22:M22"/>
    <mergeCell ref="N22:O22"/>
    <mergeCell ref="A21:E21"/>
    <mergeCell ref="F21:G21"/>
    <mergeCell ref="H21:I21"/>
    <mergeCell ref="J21:K21"/>
    <mergeCell ref="L21:M21"/>
    <mergeCell ref="N21:O21"/>
    <mergeCell ref="A22:E22"/>
    <mergeCell ref="F22:G22"/>
    <mergeCell ref="L20:M20"/>
    <mergeCell ref="N20:O20"/>
    <mergeCell ref="A19:E19"/>
    <mergeCell ref="F19:G19"/>
    <mergeCell ref="H19:I19"/>
    <mergeCell ref="J19:K19"/>
    <mergeCell ref="L19:M19"/>
    <mergeCell ref="N19:O19"/>
    <mergeCell ref="A20:E20"/>
    <mergeCell ref="F20:G20"/>
    <mergeCell ref="H20:I20"/>
    <mergeCell ref="J20:K20"/>
    <mergeCell ref="A23:E23"/>
    <mergeCell ref="F23:G23"/>
    <mergeCell ref="H23:I23"/>
    <mergeCell ref="J23:K23"/>
    <mergeCell ref="H22:I22"/>
    <mergeCell ref="J22:K22"/>
    <mergeCell ref="L26:M26"/>
    <mergeCell ref="N26:O26"/>
    <mergeCell ref="A25:E25"/>
    <mergeCell ref="F25:G25"/>
    <mergeCell ref="H25:I25"/>
    <mergeCell ref="J25:K25"/>
    <mergeCell ref="L23:M23"/>
    <mergeCell ref="N23:O23"/>
    <mergeCell ref="A26:E26"/>
    <mergeCell ref="F26:G26"/>
    <mergeCell ref="H26:I26"/>
    <mergeCell ref="J26:K26"/>
    <mergeCell ref="L24:M24"/>
    <mergeCell ref="N24:O24"/>
    <mergeCell ref="A24:E24"/>
    <mergeCell ref="F24:G24"/>
    <mergeCell ref="H24:I24"/>
    <mergeCell ref="J24:K24"/>
    <mergeCell ref="L25:M25"/>
    <mergeCell ref="N25:O25"/>
    <mergeCell ref="A27:E27"/>
    <mergeCell ref="F27:G27"/>
    <mergeCell ref="H27:I27"/>
    <mergeCell ref="J27:K27"/>
    <mergeCell ref="L27:M27"/>
    <mergeCell ref="N27:O27"/>
    <mergeCell ref="H53:J53"/>
    <mergeCell ref="K53:L53"/>
    <mergeCell ref="A29:O29"/>
    <mergeCell ref="A32:O32"/>
    <mergeCell ref="B33:E33"/>
    <mergeCell ref="F33:O33"/>
    <mergeCell ref="A30:O30"/>
    <mergeCell ref="B52:C52"/>
    <mergeCell ref="D52:E52"/>
    <mergeCell ref="F52:G52"/>
    <mergeCell ref="H52:J52"/>
    <mergeCell ref="K52:L52"/>
    <mergeCell ref="M53:O53"/>
    <mergeCell ref="M52:O52"/>
    <mergeCell ref="B53:C53"/>
    <mergeCell ref="D53:E53"/>
    <mergeCell ref="B35:E35"/>
    <mergeCell ref="F35:O35"/>
    <mergeCell ref="B36:E36"/>
    <mergeCell ref="F36:O36"/>
    <mergeCell ref="A50:O50"/>
    <mergeCell ref="A45:C45"/>
    <mergeCell ref="A46:C46"/>
    <mergeCell ref="A48:C48"/>
    <mergeCell ref="B34:E34"/>
    <mergeCell ref="F34:O34"/>
    <mergeCell ref="A38:O38"/>
    <mergeCell ref="A40:C41"/>
    <mergeCell ref="D40:F40"/>
    <mergeCell ref="A47:C47"/>
    <mergeCell ref="G40:I40"/>
    <mergeCell ref="O40:O41"/>
    <mergeCell ref="A42:C42"/>
    <mergeCell ref="A43:C43"/>
    <mergeCell ref="A44:C44"/>
    <mergeCell ref="J40:L40"/>
    <mergeCell ref="B56:C56"/>
    <mergeCell ref="D56:E56"/>
    <mergeCell ref="F56:G56"/>
    <mergeCell ref="H56:J56"/>
    <mergeCell ref="M40:N40"/>
    <mergeCell ref="B54:C54"/>
    <mergeCell ref="D54:E54"/>
    <mergeCell ref="F54:G54"/>
    <mergeCell ref="H54:J54"/>
    <mergeCell ref="K54:L54"/>
    <mergeCell ref="K55:L55"/>
    <mergeCell ref="M55:O55"/>
    <mergeCell ref="B55:C55"/>
    <mergeCell ref="D55:E55"/>
    <mergeCell ref="F55:G55"/>
    <mergeCell ref="H55:J55"/>
    <mergeCell ref="K56:L56"/>
    <mergeCell ref="M56:O56"/>
    <mergeCell ref="M54:O54"/>
    <mergeCell ref="F53:G53"/>
    <mergeCell ref="L63:M63"/>
    <mergeCell ref="N63:O63"/>
    <mergeCell ref="J62:K62"/>
    <mergeCell ref="L62:M62"/>
    <mergeCell ref="N62:O62"/>
    <mergeCell ref="J63:K63"/>
    <mergeCell ref="J61:K61"/>
    <mergeCell ref="L61:M61"/>
    <mergeCell ref="A58:O58"/>
    <mergeCell ref="A60:C61"/>
    <mergeCell ref="D60:E61"/>
    <mergeCell ref="F60:I60"/>
    <mergeCell ref="J60:M60"/>
    <mergeCell ref="N60:O61"/>
    <mergeCell ref="F61:G61"/>
    <mergeCell ref="H61:I61"/>
    <mergeCell ref="A63:C63"/>
    <mergeCell ref="D63:E63"/>
    <mergeCell ref="F63:G63"/>
    <mergeCell ref="H63:I63"/>
    <mergeCell ref="A62:C62"/>
    <mergeCell ref="D62:E62"/>
    <mergeCell ref="F62:G62"/>
    <mergeCell ref="H62:I62"/>
    <mergeCell ref="N64:O64"/>
    <mergeCell ref="N65:O65"/>
    <mergeCell ref="A65:C65"/>
    <mergeCell ref="F66:G66"/>
    <mergeCell ref="H66:I66"/>
    <mergeCell ref="J66:K66"/>
    <mergeCell ref="L67:M67"/>
    <mergeCell ref="N67:O67"/>
    <mergeCell ref="A66:C66"/>
    <mergeCell ref="D66:E66"/>
    <mergeCell ref="A67:C67"/>
    <mergeCell ref="A64:C64"/>
    <mergeCell ref="D64:E64"/>
    <mergeCell ref="F64:G64"/>
    <mergeCell ref="H64:I64"/>
    <mergeCell ref="J64:K64"/>
    <mergeCell ref="L64:M64"/>
    <mergeCell ref="D67:E67"/>
    <mergeCell ref="F67:G67"/>
    <mergeCell ref="H67:I67"/>
    <mergeCell ref="J67:K67"/>
    <mergeCell ref="L66:M66"/>
    <mergeCell ref="N66:O66"/>
    <mergeCell ref="D65:E65"/>
    <mergeCell ref="F65:G65"/>
    <mergeCell ref="H65:I65"/>
    <mergeCell ref="J65:K65"/>
    <mergeCell ref="L65:M65"/>
    <mergeCell ref="J68:K68"/>
    <mergeCell ref="L68:M68"/>
    <mergeCell ref="N68:O68"/>
    <mergeCell ref="F69:G69"/>
    <mergeCell ref="N69:O69"/>
    <mergeCell ref="A69:C69"/>
    <mergeCell ref="D69:E69"/>
    <mergeCell ref="H69:I69"/>
    <mergeCell ref="J69:K69"/>
    <mergeCell ref="L69:M69"/>
    <mergeCell ref="A68:C68"/>
    <mergeCell ref="D68:E68"/>
    <mergeCell ref="F68:G68"/>
    <mergeCell ref="H68:I68"/>
    <mergeCell ref="N71:O71"/>
    <mergeCell ref="A71:C71"/>
    <mergeCell ref="D71:E71"/>
    <mergeCell ref="F71:G71"/>
    <mergeCell ref="H71:I71"/>
    <mergeCell ref="J71:K71"/>
    <mergeCell ref="L71:M71"/>
    <mergeCell ref="A70:C70"/>
    <mergeCell ref="D70:E70"/>
    <mergeCell ref="F70:G70"/>
    <mergeCell ref="H70:I70"/>
    <mergeCell ref="J70:K70"/>
    <mergeCell ref="L70:M70"/>
    <mergeCell ref="N70:O70"/>
  </mergeCells>
  <phoneticPr fontId="0" type="noConversion"/>
  <pageMargins left="0.35433070866141736" right="0.35433070866141736" top="0.35433070866141736" bottom="0.35433070866141736" header="0" footer="0"/>
  <pageSetup paperSize="9" scale="93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AE86"/>
  <sheetViews>
    <sheetView topLeftCell="A62" zoomScaleNormal="100" workbookViewId="0">
      <selection activeCell="O88" sqref="O88"/>
    </sheetView>
  </sheetViews>
  <sheetFormatPr defaultColWidth="8.7109375" defaultRowHeight="11.45" customHeight="1" x14ac:dyDescent="0.2"/>
  <cols>
    <col min="1" max="1" width="4.5703125" style="11" customWidth="1"/>
    <col min="2" max="2" width="21.85546875" style="11" customWidth="1"/>
    <col min="3" max="19" width="6.7109375" style="11" customWidth="1"/>
    <col min="20" max="20" width="8.5703125" style="11" customWidth="1"/>
    <col min="21" max="21" width="9.140625" style="11" customWidth="1"/>
    <col min="22" max="22" width="7.7109375" style="11" customWidth="1"/>
    <col min="23" max="23" width="8" style="11" customWidth="1"/>
    <col min="24" max="27" width="6.7109375" style="11" customWidth="1"/>
    <col min="28" max="28" width="8.85546875" style="11" customWidth="1"/>
    <col min="29" max="29" width="8.42578125" style="11" customWidth="1"/>
    <col min="30" max="30" width="8.85546875" style="11" customWidth="1"/>
    <col min="31" max="31" width="6.7109375" style="11" customWidth="1"/>
    <col min="32" max="16384" width="8.7109375" style="9"/>
  </cols>
  <sheetData>
    <row r="1" spans="1:31" s="11" customFormat="1" ht="4.5" customHeight="1" x14ac:dyDescent="0.2"/>
    <row r="2" spans="1:31" s="11" customFormat="1" ht="12.95" customHeight="1" x14ac:dyDescent="0.2">
      <c r="B2" s="117" t="s">
        <v>412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</row>
    <row r="3" spans="1:31" s="11" customFormat="1" ht="7.5" customHeight="1" x14ac:dyDescent="0.2"/>
    <row r="4" spans="1:31" s="11" customFormat="1" ht="12.95" customHeight="1" x14ac:dyDescent="0.2">
      <c r="A4" s="101" t="s">
        <v>413</v>
      </c>
      <c r="B4" s="101" t="s">
        <v>414</v>
      </c>
      <c r="C4" s="101" t="s">
        <v>415</v>
      </c>
      <c r="D4" s="101"/>
      <c r="E4" s="101"/>
      <c r="F4" s="101"/>
      <c r="G4" s="116" t="s">
        <v>416</v>
      </c>
      <c r="H4" s="116"/>
      <c r="I4" s="116"/>
      <c r="J4" s="116"/>
      <c r="K4" s="116"/>
      <c r="L4" s="116"/>
      <c r="M4" s="116"/>
      <c r="N4" s="116"/>
      <c r="O4" s="116"/>
      <c r="P4" s="86" t="s">
        <v>417</v>
      </c>
      <c r="Q4" s="86"/>
      <c r="R4" s="86"/>
      <c r="S4" s="86"/>
      <c r="T4" s="86"/>
      <c r="U4" s="86"/>
      <c r="V4" s="86"/>
      <c r="W4" s="86"/>
      <c r="X4" s="86"/>
      <c r="Y4" s="86"/>
      <c r="Z4" s="101" t="s">
        <v>418</v>
      </c>
      <c r="AA4" s="101"/>
      <c r="AB4" s="101"/>
      <c r="AC4" s="101" t="s">
        <v>419</v>
      </c>
      <c r="AD4" s="101"/>
      <c r="AE4" s="101"/>
    </row>
    <row r="5" spans="1:31" s="11" customFormat="1" ht="38.1" customHeight="1" x14ac:dyDescent="0.2">
      <c r="A5" s="101"/>
      <c r="B5" s="101"/>
      <c r="C5" s="101"/>
      <c r="D5" s="101"/>
      <c r="E5" s="101"/>
      <c r="F5" s="101"/>
      <c r="G5" s="116"/>
      <c r="H5" s="116"/>
      <c r="I5" s="116"/>
      <c r="J5" s="116"/>
      <c r="K5" s="116"/>
      <c r="L5" s="116"/>
      <c r="M5" s="116"/>
      <c r="N5" s="116"/>
      <c r="O5" s="116"/>
      <c r="P5" s="85" t="s">
        <v>420</v>
      </c>
      <c r="Q5" s="85"/>
      <c r="R5" s="85"/>
      <c r="S5" s="85"/>
      <c r="T5" s="101" t="s">
        <v>421</v>
      </c>
      <c r="U5" s="101"/>
      <c r="V5" s="101"/>
      <c r="W5" s="101" t="s">
        <v>422</v>
      </c>
      <c r="X5" s="101"/>
      <c r="Y5" s="101"/>
      <c r="Z5" s="101"/>
      <c r="AA5" s="101"/>
      <c r="AB5" s="101"/>
      <c r="AC5" s="101"/>
      <c r="AD5" s="101"/>
      <c r="AE5" s="101"/>
    </row>
    <row r="6" spans="1:31" s="11" customFormat="1" ht="12.95" customHeight="1" x14ac:dyDescent="0.2">
      <c r="A6" s="50">
        <v>1</v>
      </c>
      <c r="B6" s="50">
        <v>2</v>
      </c>
      <c r="C6" s="115">
        <v>3</v>
      </c>
      <c r="D6" s="115"/>
      <c r="E6" s="115"/>
      <c r="F6" s="115"/>
      <c r="G6" s="142">
        <v>4</v>
      </c>
      <c r="H6" s="142"/>
      <c r="I6" s="142"/>
      <c r="J6" s="142"/>
      <c r="K6" s="142"/>
      <c r="L6" s="142"/>
      <c r="M6" s="142"/>
      <c r="N6" s="142"/>
      <c r="O6" s="142"/>
      <c r="P6" s="115">
        <v>5</v>
      </c>
      <c r="Q6" s="115"/>
      <c r="R6" s="115"/>
      <c r="S6" s="115"/>
      <c r="T6" s="115">
        <v>6</v>
      </c>
      <c r="U6" s="115"/>
      <c r="V6" s="115"/>
      <c r="W6" s="115">
        <v>7</v>
      </c>
      <c r="X6" s="115"/>
      <c r="Y6" s="115"/>
      <c r="Z6" s="115">
        <v>8</v>
      </c>
      <c r="AA6" s="115"/>
      <c r="AB6" s="115"/>
      <c r="AC6" s="115">
        <v>9</v>
      </c>
      <c r="AD6" s="115"/>
      <c r="AE6" s="115"/>
    </row>
    <row r="7" spans="1:31" s="11" customFormat="1" ht="12.95" customHeight="1" x14ac:dyDescent="0.2">
      <c r="A7" s="50">
        <v>1</v>
      </c>
      <c r="B7" s="46" t="s">
        <v>423</v>
      </c>
      <c r="C7" s="118">
        <v>1998</v>
      </c>
      <c r="D7" s="118"/>
      <c r="E7" s="118"/>
      <c r="F7" s="118"/>
      <c r="G7" s="116" t="s">
        <v>424</v>
      </c>
      <c r="H7" s="116"/>
      <c r="I7" s="116"/>
      <c r="J7" s="116"/>
      <c r="K7" s="116"/>
      <c r="L7" s="116"/>
      <c r="M7" s="116"/>
      <c r="N7" s="116"/>
      <c r="O7" s="116"/>
      <c r="P7" s="119">
        <v>78.2</v>
      </c>
      <c r="Q7" s="119"/>
      <c r="R7" s="119"/>
      <c r="S7" s="119"/>
      <c r="T7" s="119">
        <v>40.200000000000003</v>
      </c>
      <c r="U7" s="119"/>
      <c r="V7" s="119"/>
      <c r="W7" s="119">
        <v>62.3</v>
      </c>
      <c r="X7" s="119"/>
      <c r="Y7" s="119"/>
      <c r="Z7" s="135">
        <f>W7-T7</f>
        <v>22.099999999999994</v>
      </c>
      <c r="AA7" s="135"/>
      <c r="AB7" s="135"/>
      <c r="AC7" s="119">
        <f>W7/T7</f>
        <v>1.5497512437810943</v>
      </c>
      <c r="AD7" s="119"/>
      <c r="AE7" s="119"/>
    </row>
    <row r="8" spans="1:31" s="11" customFormat="1" ht="12.95" customHeight="1" x14ac:dyDescent="0.2">
      <c r="A8" s="50">
        <v>2</v>
      </c>
      <c r="B8" s="46" t="s">
        <v>425</v>
      </c>
      <c r="C8" s="118">
        <v>1998</v>
      </c>
      <c r="D8" s="118"/>
      <c r="E8" s="118"/>
      <c r="F8" s="118"/>
      <c r="G8" s="116" t="s">
        <v>424</v>
      </c>
      <c r="H8" s="116"/>
      <c r="I8" s="116"/>
      <c r="J8" s="116"/>
      <c r="K8" s="116"/>
      <c r="L8" s="116"/>
      <c r="M8" s="116"/>
      <c r="N8" s="116"/>
      <c r="O8" s="116"/>
      <c r="P8" s="119">
        <v>131.4</v>
      </c>
      <c r="Q8" s="119"/>
      <c r="R8" s="119"/>
      <c r="S8" s="119"/>
      <c r="T8" s="119">
        <v>68.7</v>
      </c>
      <c r="U8" s="119"/>
      <c r="V8" s="119"/>
      <c r="W8" s="119">
        <v>98.3</v>
      </c>
      <c r="X8" s="119"/>
      <c r="Y8" s="119"/>
      <c r="Z8" s="135">
        <f t="shared" ref="Z8:Z32" si="0">W8-T8</f>
        <v>29.599999999999994</v>
      </c>
      <c r="AA8" s="135"/>
      <c r="AB8" s="135"/>
      <c r="AC8" s="119">
        <f t="shared" ref="AC8:AC32" si="1">W8/T8</f>
        <v>1.4308588064046579</v>
      </c>
      <c r="AD8" s="119"/>
      <c r="AE8" s="119"/>
    </row>
    <row r="9" spans="1:31" s="11" customFormat="1" ht="12.95" customHeight="1" x14ac:dyDescent="0.2">
      <c r="A9" s="50">
        <v>3</v>
      </c>
      <c r="B9" s="46" t="s">
        <v>426</v>
      </c>
      <c r="C9" s="118">
        <v>1999</v>
      </c>
      <c r="D9" s="118"/>
      <c r="E9" s="118"/>
      <c r="F9" s="118"/>
      <c r="G9" s="116" t="s">
        <v>424</v>
      </c>
      <c r="H9" s="116"/>
      <c r="I9" s="116"/>
      <c r="J9" s="116"/>
      <c r="K9" s="116"/>
      <c r="L9" s="116"/>
      <c r="M9" s="116"/>
      <c r="N9" s="116"/>
      <c r="O9" s="116"/>
      <c r="P9" s="119">
        <v>163.69999999999999</v>
      </c>
      <c r="Q9" s="119"/>
      <c r="R9" s="119"/>
      <c r="S9" s="119"/>
      <c r="T9" s="119">
        <v>83.8</v>
      </c>
      <c r="U9" s="119"/>
      <c r="V9" s="119"/>
      <c r="W9" s="119">
        <v>163.80000000000001</v>
      </c>
      <c r="X9" s="119"/>
      <c r="Y9" s="119"/>
      <c r="Z9" s="135">
        <f t="shared" si="0"/>
        <v>80.000000000000014</v>
      </c>
      <c r="AA9" s="135"/>
      <c r="AB9" s="135"/>
      <c r="AC9" s="119">
        <f t="shared" si="1"/>
        <v>1.9546539379474943</v>
      </c>
      <c r="AD9" s="119"/>
      <c r="AE9" s="119"/>
    </row>
    <row r="10" spans="1:31" s="11" customFormat="1" ht="12.95" customHeight="1" x14ac:dyDescent="0.2">
      <c r="A10" s="50">
        <v>4</v>
      </c>
      <c r="B10" s="46" t="s">
        <v>427</v>
      </c>
      <c r="C10" s="118">
        <v>2003</v>
      </c>
      <c r="D10" s="118"/>
      <c r="E10" s="118"/>
      <c r="F10" s="118"/>
      <c r="G10" s="116" t="s">
        <v>424</v>
      </c>
      <c r="H10" s="116"/>
      <c r="I10" s="116"/>
      <c r="J10" s="116"/>
      <c r="K10" s="116"/>
      <c r="L10" s="116"/>
      <c r="M10" s="116"/>
      <c r="N10" s="116"/>
      <c r="O10" s="116"/>
      <c r="P10" s="119">
        <v>384.5</v>
      </c>
      <c r="Q10" s="119"/>
      <c r="R10" s="119"/>
      <c r="S10" s="119"/>
      <c r="T10" s="119">
        <v>307.10000000000002</v>
      </c>
      <c r="U10" s="119"/>
      <c r="V10" s="119"/>
      <c r="W10" s="119">
        <v>100.7</v>
      </c>
      <c r="X10" s="119"/>
      <c r="Y10" s="119"/>
      <c r="Z10" s="135">
        <f t="shared" si="0"/>
        <v>-206.40000000000003</v>
      </c>
      <c r="AA10" s="135"/>
      <c r="AB10" s="135"/>
      <c r="AC10" s="119">
        <f t="shared" si="1"/>
        <v>0.32790621947248449</v>
      </c>
      <c r="AD10" s="119"/>
      <c r="AE10" s="119"/>
    </row>
    <row r="11" spans="1:31" s="11" customFormat="1" ht="12.95" customHeight="1" x14ac:dyDescent="0.2">
      <c r="A11" s="50">
        <v>5</v>
      </c>
      <c r="B11" s="47" t="s">
        <v>428</v>
      </c>
      <c r="C11" s="118">
        <v>1998</v>
      </c>
      <c r="D11" s="118"/>
      <c r="E11" s="118"/>
      <c r="F11" s="118"/>
      <c r="G11" s="116" t="s">
        <v>429</v>
      </c>
      <c r="H11" s="116"/>
      <c r="I11" s="116"/>
      <c r="J11" s="116"/>
      <c r="K11" s="116"/>
      <c r="L11" s="116"/>
      <c r="M11" s="116"/>
      <c r="N11" s="116"/>
      <c r="O11" s="116"/>
      <c r="P11" s="119">
        <v>41.9</v>
      </c>
      <c r="Q11" s="119"/>
      <c r="R11" s="119"/>
      <c r="S11" s="119"/>
      <c r="T11" s="119">
        <v>63.7</v>
      </c>
      <c r="U11" s="119"/>
      <c r="V11" s="119"/>
      <c r="W11" s="119">
        <v>49.3</v>
      </c>
      <c r="X11" s="119"/>
      <c r="Y11" s="119"/>
      <c r="Z11" s="135">
        <f t="shared" si="0"/>
        <v>-14.400000000000006</v>
      </c>
      <c r="AA11" s="135"/>
      <c r="AB11" s="135"/>
      <c r="AC11" s="119">
        <f t="shared" si="1"/>
        <v>0.77394034536891676</v>
      </c>
      <c r="AD11" s="119"/>
      <c r="AE11" s="119"/>
    </row>
    <row r="12" spans="1:31" s="11" customFormat="1" ht="12.95" customHeight="1" x14ac:dyDescent="0.2">
      <c r="A12" s="50">
        <v>6</v>
      </c>
      <c r="B12" s="46" t="s">
        <v>430</v>
      </c>
      <c r="C12" s="118">
        <v>1998</v>
      </c>
      <c r="D12" s="118"/>
      <c r="E12" s="118"/>
      <c r="F12" s="118"/>
      <c r="G12" s="116" t="s">
        <v>429</v>
      </c>
      <c r="H12" s="116"/>
      <c r="I12" s="116"/>
      <c r="J12" s="116"/>
      <c r="K12" s="116"/>
      <c r="L12" s="116"/>
      <c r="M12" s="116"/>
      <c r="N12" s="116"/>
      <c r="O12" s="116"/>
      <c r="P12" s="119">
        <v>34</v>
      </c>
      <c r="Q12" s="119"/>
      <c r="R12" s="119"/>
      <c r="S12" s="119"/>
      <c r="T12" s="119">
        <v>47.8</v>
      </c>
      <c r="U12" s="119"/>
      <c r="V12" s="119"/>
      <c r="W12" s="119">
        <v>9</v>
      </c>
      <c r="X12" s="119"/>
      <c r="Y12" s="119"/>
      <c r="Z12" s="135">
        <f t="shared" si="0"/>
        <v>-38.799999999999997</v>
      </c>
      <c r="AA12" s="135"/>
      <c r="AB12" s="135"/>
      <c r="AC12" s="119">
        <f t="shared" si="1"/>
        <v>0.1882845188284519</v>
      </c>
      <c r="AD12" s="119"/>
      <c r="AE12" s="119"/>
    </row>
    <row r="13" spans="1:31" s="11" customFormat="1" ht="12.95" customHeight="1" x14ac:dyDescent="0.2">
      <c r="A13" s="50">
        <v>7</v>
      </c>
      <c r="B13" s="46" t="s">
        <v>431</v>
      </c>
      <c r="C13" s="118">
        <v>2006</v>
      </c>
      <c r="D13" s="118"/>
      <c r="E13" s="118"/>
      <c r="F13" s="118"/>
      <c r="G13" s="116" t="s">
        <v>424</v>
      </c>
      <c r="H13" s="116"/>
      <c r="I13" s="116"/>
      <c r="J13" s="116"/>
      <c r="K13" s="116"/>
      <c r="L13" s="116"/>
      <c r="M13" s="116"/>
      <c r="N13" s="116"/>
      <c r="O13" s="116"/>
      <c r="P13" s="119">
        <v>158</v>
      </c>
      <c r="Q13" s="119"/>
      <c r="R13" s="119"/>
      <c r="S13" s="119"/>
      <c r="T13" s="119">
        <v>110.3</v>
      </c>
      <c r="U13" s="119"/>
      <c r="V13" s="119"/>
      <c r="W13" s="119">
        <v>135.80000000000001</v>
      </c>
      <c r="X13" s="119"/>
      <c r="Y13" s="119"/>
      <c r="Z13" s="135">
        <f t="shared" si="0"/>
        <v>25.500000000000014</v>
      </c>
      <c r="AA13" s="135"/>
      <c r="AB13" s="135"/>
      <c r="AC13" s="119">
        <f t="shared" si="1"/>
        <v>1.2311876699909339</v>
      </c>
      <c r="AD13" s="119"/>
      <c r="AE13" s="119"/>
    </row>
    <row r="14" spans="1:31" s="11" customFormat="1" ht="12.95" customHeight="1" x14ac:dyDescent="0.2">
      <c r="A14" s="50">
        <v>8</v>
      </c>
      <c r="B14" s="46" t="s">
        <v>432</v>
      </c>
      <c r="C14" s="118">
        <v>2006</v>
      </c>
      <c r="D14" s="118"/>
      <c r="E14" s="118"/>
      <c r="F14" s="118"/>
      <c r="G14" s="116" t="s">
        <v>424</v>
      </c>
      <c r="H14" s="116"/>
      <c r="I14" s="116"/>
      <c r="J14" s="116"/>
      <c r="K14" s="116"/>
      <c r="L14" s="116"/>
      <c r="M14" s="116"/>
      <c r="N14" s="116"/>
      <c r="O14" s="116"/>
      <c r="P14" s="119">
        <v>50.6</v>
      </c>
      <c r="Q14" s="119"/>
      <c r="R14" s="119"/>
      <c r="S14" s="119"/>
      <c r="T14" s="119">
        <v>31.8</v>
      </c>
      <c r="U14" s="119"/>
      <c r="V14" s="119"/>
      <c r="W14" s="119">
        <v>94.5</v>
      </c>
      <c r="X14" s="119"/>
      <c r="Y14" s="119"/>
      <c r="Z14" s="135">
        <f t="shared" si="0"/>
        <v>62.7</v>
      </c>
      <c r="AA14" s="135"/>
      <c r="AB14" s="135"/>
      <c r="AC14" s="119">
        <f t="shared" si="1"/>
        <v>2.9716981132075473</v>
      </c>
      <c r="AD14" s="119"/>
      <c r="AE14" s="119"/>
    </row>
    <row r="15" spans="1:31" s="11" customFormat="1" ht="12.95" customHeight="1" x14ac:dyDescent="0.2">
      <c r="A15" s="50">
        <v>9</v>
      </c>
      <c r="B15" s="47" t="s">
        <v>433</v>
      </c>
      <c r="C15" s="118">
        <v>1998</v>
      </c>
      <c r="D15" s="118"/>
      <c r="E15" s="118"/>
      <c r="F15" s="118"/>
      <c r="G15" s="116" t="s">
        <v>424</v>
      </c>
      <c r="H15" s="116"/>
      <c r="I15" s="116"/>
      <c r="J15" s="116"/>
      <c r="K15" s="116"/>
      <c r="L15" s="116"/>
      <c r="M15" s="116"/>
      <c r="N15" s="116"/>
      <c r="O15" s="116"/>
      <c r="P15" s="119">
        <v>96.2</v>
      </c>
      <c r="Q15" s="119"/>
      <c r="R15" s="119"/>
      <c r="S15" s="119"/>
      <c r="T15" s="119">
        <v>90.2</v>
      </c>
      <c r="U15" s="119"/>
      <c r="V15" s="119"/>
      <c r="W15" s="119">
        <v>54.2</v>
      </c>
      <c r="X15" s="119"/>
      <c r="Y15" s="119"/>
      <c r="Z15" s="135">
        <f t="shared" si="0"/>
        <v>-36</v>
      </c>
      <c r="AA15" s="135"/>
      <c r="AB15" s="135"/>
      <c r="AC15" s="119">
        <f t="shared" si="1"/>
        <v>0.60088691796008875</v>
      </c>
      <c r="AD15" s="119"/>
      <c r="AE15" s="119"/>
    </row>
    <row r="16" spans="1:31" s="11" customFormat="1" ht="12.95" customHeight="1" x14ac:dyDescent="0.2">
      <c r="A16" s="50">
        <v>10</v>
      </c>
      <c r="B16" s="46" t="s">
        <v>434</v>
      </c>
      <c r="C16" s="118">
        <v>1997</v>
      </c>
      <c r="D16" s="118"/>
      <c r="E16" s="118"/>
      <c r="F16" s="118"/>
      <c r="G16" s="116" t="s">
        <v>424</v>
      </c>
      <c r="H16" s="116"/>
      <c r="I16" s="116"/>
      <c r="J16" s="116"/>
      <c r="K16" s="116"/>
      <c r="L16" s="116"/>
      <c r="M16" s="116"/>
      <c r="N16" s="116"/>
      <c r="O16" s="116"/>
      <c r="P16" s="119">
        <v>53</v>
      </c>
      <c r="Q16" s="119"/>
      <c r="R16" s="119"/>
      <c r="S16" s="119"/>
      <c r="T16" s="119">
        <v>52.4</v>
      </c>
      <c r="U16" s="119"/>
      <c r="V16" s="119"/>
      <c r="W16" s="119">
        <v>14.8</v>
      </c>
      <c r="X16" s="119"/>
      <c r="Y16" s="119"/>
      <c r="Z16" s="135">
        <f t="shared" si="0"/>
        <v>-37.599999999999994</v>
      </c>
      <c r="AA16" s="135"/>
      <c r="AB16" s="135"/>
      <c r="AC16" s="119">
        <f t="shared" si="1"/>
        <v>0.28244274809160308</v>
      </c>
      <c r="AD16" s="119"/>
      <c r="AE16" s="119"/>
    </row>
    <row r="17" spans="1:31" s="11" customFormat="1" ht="12.95" customHeight="1" x14ac:dyDescent="0.2">
      <c r="A17" s="50">
        <v>11</v>
      </c>
      <c r="B17" s="46" t="s">
        <v>435</v>
      </c>
      <c r="C17" s="118">
        <v>1994</v>
      </c>
      <c r="D17" s="118"/>
      <c r="E17" s="118"/>
      <c r="F17" s="118"/>
      <c r="G17" s="116" t="s">
        <v>424</v>
      </c>
      <c r="H17" s="116"/>
      <c r="I17" s="116"/>
      <c r="J17" s="116"/>
      <c r="K17" s="116"/>
      <c r="L17" s="116"/>
      <c r="M17" s="116"/>
      <c r="N17" s="116"/>
      <c r="O17" s="116"/>
      <c r="P17" s="119">
        <v>8.1</v>
      </c>
      <c r="Q17" s="119"/>
      <c r="R17" s="119"/>
      <c r="S17" s="119"/>
      <c r="T17" s="119">
        <v>16.100000000000001</v>
      </c>
      <c r="U17" s="119"/>
      <c r="V17" s="119"/>
      <c r="W17" s="119">
        <v>36.1</v>
      </c>
      <c r="X17" s="119"/>
      <c r="Y17" s="119"/>
      <c r="Z17" s="135">
        <f t="shared" si="0"/>
        <v>20</v>
      </c>
      <c r="AA17" s="135"/>
      <c r="AB17" s="135"/>
      <c r="AC17" s="119">
        <f t="shared" si="1"/>
        <v>2.2422360248447202</v>
      </c>
      <c r="AD17" s="119"/>
      <c r="AE17" s="119"/>
    </row>
    <row r="18" spans="1:31" s="11" customFormat="1" ht="12.95" customHeight="1" x14ac:dyDescent="0.2">
      <c r="A18" s="50">
        <v>13</v>
      </c>
      <c r="B18" s="46" t="s">
        <v>436</v>
      </c>
      <c r="C18" s="118">
        <v>1998</v>
      </c>
      <c r="D18" s="118"/>
      <c r="E18" s="118"/>
      <c r="F18" s="118"/>
      <c r="G18" s="116" t="s">
        <v>429</v>
      </c>
      <c r="H18" s="116"/>
      <c r="I18" s="116"/>
      <c r="J18" s="116"/>
      <c r="K18" s="116"/>
      <c r="L18" s="116"/>
      <c r="M18" s="116"/>
      <c r="N18" s="116"/>
      <c r="O18" s="116"/>
      <c r="P18" s="119">
        <v>18.600000000000001</v>
      </c>
      <c r="Q18" s="119"/>
      <c r="R18" s="119"/>
      <c r="S18" s="119"/>
      <c r="T18" s="119">
        <v>31</v>
      </c>
      <c r="U18" s="119"/>
      <c r="V18" s="119"/>
      <c r="W18" s="119">
        <v>23.2</v>
      </c>
      <c r="X18" s="119"/>
      <c r="Y18" s="119"/>
      <c r="Z18" s="135">
        <f t="shared" si="0"/>
        <v>-7.8000000000000007</v>
      </c>
      <c r="AA18" s="135"/>
      <c r="AB18" s="135"/>
      <c r="AC18" s="119">
        <f t="shared" si="1"/>
        <v>0.74838709677419357</v>
      </c>
      <c r="AD18" s="119"/>
      <c r="AE18" s="119"/>
    </row>
    <row r="19" spans="1:31" s="11" customFormat="1" ht="12.95" customHeight="1" x14ac:dyDescent="0.2">
      <c r="A19" s="50">
        <v>14</v>
      </c>
      <c r="B19" s="46" t="s">
        <v>437</v>
      </c>
      <c r="C19" s="118">
        <v>1998</v>
      </c>
      <c r="D19" s="118"/>
      <c r="E19" s="118"/>
      <c r="F19" s="118"/>
      <c r="G19" s="116" t="s">
        <v>424</v>
      </c>
      <c r="H19" s="116"/>
      <c r="I19" s="116"/>
      <c r="J19" s="116"/>
      <c r="K19" s="116"/>
      <c r="L19" s="116"/>
      <c r="M19" s="116"/>
      <c r="N19" s="116"/>
      <c r="O19" s="116"/>
      <c r="P19" s="119">
        <v>56.3</v>
      </c>
      <c r="Q19" s="119"/>
      <c r="R19" s="119"/>
      <c r="S19" s="119"/>
      <c r="T19" s="119">
        <v>47.9</v>
      </c>
      <c r="U19" s="119"/>
      <c r="V19" s="119"/>
      <c r="W19" s="119">
        <v>39.4</v>
      </c>
      <c r="X19" s="119"/>
      <c r="Y19" s="119"/>
      <c r="Z19" s="135">
        <f t="shared" si="0"/>
        <v>-8.5</v>
      </c>
      <c r="AA19" s="135"/>
      <c r="AB19" s="135"/>
      <c r="AC19" s="119">
        <f t="shared" si="1"/>
        <v>0.82254697286012524</v>
      </c>
      <c r="AD19" s="119"/>
      <c r="AE19" s="119"/>
    </row>
    <row r="20" spans="1:31" s="11" customFormat="1" ht="12.95" customHeight="1" x14ac:dyDescent="0.2">
      <c r="A20" s="50">
        <v>15</v>
      </c>
      <c r="B20" s="47" t="s">
        <v>438</v>
      </c>
      <c r="C20" s="118">
        <v>2003</v>
      </c>
      <c r="D20" s="118"/>
      <c r="E20" s="118"/>
      <c r="F20" s="118"/>
      <c r="G20" s="116" t="s">
        <v>424</v>
      </c>
      <c r="H20" s="116"/>
      <c r="I20" s="116"/>
      <c r="J20" s="116"/>
      <c r="K20" s="116"/>
      <c r="L20" s="116"/>
      <c r="M20" s="116"/>
      <c r="N20" s="116"/>
      <c r="O20" s="116"/>
      <c r="P20" s="119">
        <v>243.3</v>
      </c>
      <c r="Q20" s="119"/>
      <c r="R20" s="119"/>
      <c r="S20" s="119"/>
      <c r="T20" s="119">
        <v>188.1</v>
      </c>
      <c r="U20" s="119"/>
      <c r="V20" s="119"/>
      <c r="W20" s="119">
        <v>230.1</v>
      </c>
      <c r="X20" s="119"/>
      <c r="Y20" s="119"/>
      <c r="Z20" s="135">
        <f t="shared" si="0"/>
        <v>42</v>
      </c>
      <c r="AA20" s="135"/>
      <c r="AB20" s="135"/>
      <c r="AC20" s="119">
        <f t="shared" si="1"/>
        <v>1.2232854864433811</v>
      </c>
      <c r="AD20" s="119"/>
      <c r="AE20" s="119"/>
    </row>
    <row r="21" spans="1:31" s="11" customFormat="1" ht="12.95" customHeight="1" x14ac:dyDescent="0.2">
      <c r="A21" s="50">
        <v>16</v>
      </c>
      <c r="B21" s="46" t="s">
        <v>439</v>
      </c>
      <c r="C21" s="118">
        <v>1998</v>
      </c>
      <c r="D21" s="118"/>
      <c r="E21" s="118"/>
      <c r="F21" s="118"/>
      <c r="G21" s="116" t="s">
        <v>424</v>
      </c>
      <c r="H21" s="116"/>
      <c r="I21" s="116"/>
      <c r="J21" s="116"/>
      <c r="K21" s="116"/>
      <c r="L21" s="116"/>
      <c r="M21" s="116"/>
      <c r="N21" s="116"/>
      <c r="O21" s="116"/>
      <c r="P21" s="119">
        <v>0</v>
      </c>
      <c r="Q21" s="119"/>
      <c r="R21" s="119"/>
      <c r="S21" s="119"/>
      <c r="T21" s="119">
        <v>14.3</v>
      </c>
      <c r="U21" s="119"/>
      <c r="V21" s="119"/>
      <c r="W21" s="119" t="s">
        <v>53</v>
      </c>
      <c r="X21" s="119"/>
      <c r="Y21" s="119"/>
      <c r="Z21" s="135">
        <f t="shared" si="0"/>
        <v>-14.3</v>
      </c>
      <c r="AA21" s="135"/>
      <c r="AB21" s="135"/>
      <c r="AC21" s="119">
        <f t="shared" si="1"/>
        <v>0</v>
      </c>
      <c r="AD21" s="119"/>
      <c r="AE21" s="119"/>
    </row>
    <row r="22" spans="1:31" s="11" customFormat="1" ht="12.95" customHeight="1" x14ac:dyDescent="0.2">
      <c r="A22" s="50">
        <v>17</v>
      </c>
      <c r="B22" s="46" t="s">
        <v>440</v>
      </c>
      <c r="C22" s="101"/>
      <c r="D22" s="101"/>
      <c r="E22" s="101"/>
      <c r="F22" s="101"/>
      <c r="G22" s="116" t="s">
        <v>424</v>
      </c>
      <c r="H22" s="116"/>
      <c r="I22" s="116"/>
      <c r="J22" s="116"/>
      <c r="K22" s="116"/>
      <c r="L22" s="116"/>
      <c r="M22" s="116"/>
      <c r="N22" s="116"/>
      <c r="O22" s="116"/>
      <c r="P22" s="119">
        <v>0</v>
      </c>
      <c r="Q22" s="119"/>
      <c r="R22" s="119"/>
      <c r="S22" s="119"/>
      <c r="T22" s="119">
        <v>59.3</v>
      </c>
      <c r="U22" s="119"/>
      <c r="V22" s="119"/>
      <c r="W22" s="119">
        <v>0</v>
      </c>
      <c r="X22" s="119"/>
      <c r="Y22" s="119"/>
      <c r="Z22" s="135">
        <f t="shared" si="0"/>
        <v>-59.3</v>
      </c>
      <c r="AA22" s="135"/>
      <c r="AB22" s="135"/>
      <c r="AC22" s="119">
        <f t="shared" si="1"/>
        <v>0</v>
      </c>
      <c r="AD22" s="119"/>
      <c r="AE22" s="119"/>
    </row>
    <row r="23" spans="1:31" s="11" customFormat="1" ht="42" customHeight="1" x14ac:dyDescent="0.2">
      <c r="A23" s="50">
        <v>18</v>
      </c>
      <c r="B23" s="47" t="s">
        <v>573</v>
      </c>
      <c r="C23" s="101"/>
      <c r="D23" s="101"/>
      <c r="E23" s="101"/>
      <c r="F23" s="101"/>
      <c r="G23" s="141" t="s">
        <v>441</v>
      </c>
      <c r="H23" s="116"/>
      <c r="I23" s="116"/>
      <c r="J23" s="116"/>
      <c r="K23" s="116"/>
      <c r="L23" s="116"/>
      <c r="M23" s="116"/>
      <c r="N23" s="116"/>
      <c r="O23" s="116"/>
      <c r="P23" s="119">
        <v>139.6</v>
      </c>
      <c r="Q23" s="119"/>
      <c r="R23" s="119"/>
      <c r="S23" s="119"/>
      <c r="T23" s="119">
        <v>80</v>
      </c>
      <c r="U23" s="119"/>
      <c r="V23" s="119"/>
      <c r="W23" s="119">
        <v>218.7</v>
      </c>
      <c r="X23" s="119"/>
      <c r="Y23" s="119"/>
      <c r="Z23" s="135">
        <f t="shared" si="0"/>
        <v>138.69999999999999</v>
      </c>
      <c r="AA23" s="135"/>
      <c r="AB23" s="135"/>
      <c r="AC23" s="119">
        <f t="shared" si="1"/>
        <v>2.7337499999999997</v>
      </c>
      <c r="AD23" s="119"/>
      <c r="AE23" s="119"/>
    </row>
    <row r="24" spans="1:31" s="11" customFormat="1" ht="12.95" customHeight="1" x14ac:dyDescent="0.2">
      <c r="A24" s="50">
        <v>19</v>
      </c>
      <c r="B24" s="46" t="s">
        <v>442</v>
      </c>
      <c r="C24" s="101"/>
      <c r="D24" s="101"/>
      <c r="E24" s="101"/>
      <c r="F24" s="101"/>
      <c r="G24" s="116" t="s">
        <v>424</v>
      </c>
      <c r="H24" s="116"/>
      <c r="I24" s="116"/>
      <c r="J24" s="116"/>
      <c r="K24" s="116"/>
      <c r="L24" s="116"/>
      <c r="M24" s="116"/>
      <c r="N24" s="116"/>
      <c r="O24" s="116"/>
      <c r="P24" s="119">
        <v>25.4</v>
      </c>
      <c r="Q24" s="119"/>
      <c r="R24" s="119"/>
      <c r="S24" s="119"/>
      <c r="T24" s="101">
        <v>42.6</v>
      </c>
      <c r="U24" s="101"/>
      <c r="V24" s="101"/>
      <c r="W24" s="119">
        <v>30.3</v>
      </c>
      <c r="X24" s="119"/>
      <c r="Y24" s="119"/>
      <c r="Z24" s="135">
        <f t="shared" si="0"/>
        <v>-12.3</v>
      </c>
      <c r="AA24" s="135"/>
      <c r="AB24" s="135"/>
      <c r="AC24" s="119">
        <f t="shared" si="1"/>
        <v>0.71126760563380276</v>
      </c>
      <c r="AD24" s="119"/>
      <c r="AE24" s="119"/>
    </row>
    <row r="25" spans="1:31" s="11" customFormat="1" ht="18" customHeight="1" x14ac:dyDescent="0.2">
      <c r="A25" s="50">
        <v>20</v>
      </c>
      <c r="B25" s="46" t="s">
        <v>443</v>
      </c>
      <c r="C25" s="86"/>
      <c r="D25" s="89"/>
      <c r="E25" s="89"/>
      <c r="F25" s="87"/>
      <c r="G25" s="86" t="s">
        <v>424</v>
      </c>
      <c r="H25" s="89"/>
      <c r="I25" s="89"/>
      <c r="J25" s="89"/>
      <c r="K25" s="89"/>
      <c r="L25" s="89"/>
      <c r="M25" s="89"/>
      <c r="N25" s="89"/>
      <c r="O25" s="87"/>
      <c r="P25" s="132">
        <v>83.1</v>
      </c>
      <c r="Q25" s="133"/>
      <c r="R25" s="133"/>
      <c r="S25" s="134"/>
      <c r="T25" s="132">
        <v>44.7</v>
      </c>
      <c r="U25" s="133"/>
      <c r="V25" s="133"/>
      <c r="W25" s="132">
        <v>3.1</v>
      </c>
      <c r="X25" s="133"/>
      <c r="Y25" s="134"/>
      <c r="Z25" s="135">
        <f t="shared" si="0"/>
        <v>-41.6</v>
      </c>
      <c r="AA25" s="135"/>
      <c r="AB25" s="135"/>
      <c r="AC25" s="119">
        <f t="shared" si="1"/>
        <v>6.9351230425055921E-2</v>
      </c>
      <c r="AD25" s="119"/>
      <c r="AE25" s="119"/>
    </row>
    <row r="26" spans="1:31" s="11" customFormat="1" ht="12.95" customHeight="1" x14ac:dyDescent="0.2">
      <c r="A26" s="50">
        <v>21</v>
      </c>
      <c r="B26" s="47" t="s">
        <v>444</v>
      </c>
      <c r="C26" s="86"/>
      <c r="D26" s="89"/>
      <c r="E26" s="89"/>
      <c r="F26" s="87"/>
      <c r="G26" s="86" t="s">
        <v>424</v>
      </c>
      <c r="H26" s="89"/>
      <c r="I26" s="89"/>
      <c r="J26" s="89"/>
      <c r="K26" s="89"/>
      <c r="L26" s="89"/>
      <c r="M26" s="89"/>
      <c r="N26" s="89"/>
      <c r="O26" s="87"/>
      <c r="P26" s="132">
        <v>48</v>
      </c>
      <c r="Q26" s="133"/>
      <c r="R26" s="133"/>
      <c r="S26" s="134"/>
      <c r="T26" s="132" t="s">
        <v>53</v>
      </c>
      <c r="U26" s="133"/>
      <c r="V26" s="133"/>
      <c r="W26" s="132">
        <v>27.5</v>
      </c>
      <c r="X26" s="133"/>
      <c r="Y26" s="134"/>
      <c r="Z26" s="135">
        <f t="shared" si="0"/>
        <v>27.5</v>
      </c>
      <c r="AA26" s="135"/>
      <c r="AB26" s="135"/>
      <c r="AC26" s="119" t="s">
        <v>457</v>
      </c>
      <c r="AD26" s="119"/>
      <c r="AE26" s="119"/>
    </row>
    <row r="27" spans="1:31" s="11" customFormat="1" ht="12.95" customHeight="1" x14ac:dyDescent="0.2">
      <c r="A27" s="50">
        <v>22</v>
      </c>
      <c r="B27" s="46" t="s">
        <v>563</v>
      </c>
      <c r="C27" s="86"/>
      <c r="D27" s="89"/>
      <c r="E27" s="89"/>
      <c r="F27" s="87"/>
      <c r="G27" s="86" t="s">
        <v>424</v>
      </c>
      <c r="H27" s="89"/>
      <c r="I27" s="89"/>
      <c r="J27" s="89"/>
      <c r="K27" s="89"/>
      <c r="L27" s="89"/>
      <c r="M27" s="89"/>
      <c r="N27" s="89"/>
      <c r="O27" s="87"/>
      <c r="P27" s="132">
        <v>0</v>
      </c>
      <c r="Q27" s="133"/>
      <c r="R27" s="133"/>
      <c r="S27" s="134"/>
      <c r="T27" s="132">
        <v>0</v>
      </c>
      <c r="U27" s="133"/>
      <c r="V27" s="133"/>
      <c r="W27" s="132">
        <v>22.6</v>
      </c>
      <c r="X27" s="133"/>
      <c r="Y27" s="134"/>
      <c r="Z27" s="135">
        <f t="shared" si="0"/>
        <v>22.6</v>
      </c>
      <c r="AA27" s="135"/>
      <c r="AB27" s="135"/>
      <c r="AC27" s="119" t="s">
        <v>457</v>
      </c>
      <c r="AD27" s="119"/>
      <c r="AE27" s="119"/>
    </row>
    <row r="28" spans="1:31" s="11" customFormat="1" ht="12.95" customHeight="1" x14ac:dyDescent="0.2">
      <c r="A28" s="50">
        <v>23</v>
      </c>
      <c r="B28" s="47" t="s">
        <v>564</v>
      </c>
      <c r="C28" s="86"/>
      <c r="D28" s="89"/>
      <c r="E28" s="89"/>
      <c r="F28" s="87"/>
      <c r="G28" s="86" t="s">
        <v>424</v>
      </c>
      <c r="H28" s="89"/>
      <c r="I28" s="89"/>
      <c r="J28" s="89"/>
      <c r="K28" s="89"/>
      <c r="L28" s="89"/>
      <c r="M28" s="89"/>
      <c r="N28" s="89"/>
      <c r="O28" s="87"/>
      <c r="P28" s="132">
        <v>0</v>
      </c>
      <c r="Q28" s="133"/>
      <c r="R28" s="133"/>
      <c r="S28" s="134"/>
      <c r="T28" s="132">
        <v>0</v>
      </c>
      <c r="U28" s="133"/>
      <c r="V28" s="133"/>
      <c r="W28" s="132">
        <v>10.9</v>
      </c>
      <c r="X28" s="133"/>
      <c r="Y28" s="134"/>
      <c r="Z28" s="135">
        <f t="shared" si="0"/>
        <v>10.9</v>
      </c>
      <c r="AA28" s="135"/>
      <c r="AB28" s="135"/>
      <c r="AC28" s="119" t="s">
        <v>457</v>
      </c>
      <c r="AD28" s="119"/>
      <c r="AE28" s="119"/>
    </row>
    <row r="29" spans="1:31" s="11" customFormat="1" ht="12.95" customHeight="1" x14ac:dyDescent="0.2">
      <c r="A29" s="50">
        <v>24</v>
      </c>
      <c r="B29" s="46" t="s">
        <v>565</v>
      </c>
      <c r="C29" s="86"/>
      <c r="D29" s="89"/>
      <c r="E29" s="89"/>
      <c r="F29" s="87"/>
      <c r="G29" s="86" t="s">
        <v>424</v>
      </c>
      <c r="H29" s="89"/>
      <c r="I29" s="89"/>
      <c r="J29" s="89"/>
      <c r="K29" s="89"/>
      <c r="L29" s="89"/>
      <c r="M29" s="89"/>
      <c r="N29" s="89"/>
      <c r="O29" s="87"/>
      <c r="P29" s="132">
        <v>0</v>
      </c>
      <c r="Q29" s="133"/>
      <c r="R29" s="133"/>
      <c r="S29" s="134"/>
      <c r="T29" s="132">
        <v>0</v>
      </c>
      <c r="U29" s="133"/>
      <c r="V29" s="133"/>
      <c r="W29" s="132">
        <v>9.3000000000000007</v>
      </c>
      <c r="X29" s="133"/>
      <c r="Y29" s="134"/>
      <c r="Z29" s="135">
        <f t="shared" si="0"/>
        <v>9.3000000000000007</v>
      </c>
      <c r="AA29" s="135"/>
      <c r="AB29" s="135"/>
      <c r="AC29" s="119" t="s">
        <v>457</v>
      </c>
      <c r="AD29" s="119"/>
      <c r="AE29" s="119"/>
    </row>
    <row r="30" spans="1:31" s="11" customFormat="1" ht="12.95" customHeight="1" x14ac:dyDescent="0.2">
      <c r="A30" s="50">
        <v>25</v>
      </c>
      <c r="B30" s="46" t="s">
        <v>566</v>
      </c>
      <c r="C30" s="86"/>
      <c r="D30" s="89"/>
      <c r="E30" s="89"/>
      <c r="F30" s="87"/>
      <c r="G30" s="86" t="s">
        <v>424</v>
      </c>
      <c r="H30" s="89"/>
      <c r="I30" s="89"/>
      <c r="J30" s="89"/>
      <c r="K30" s="89"/>
      <c r="L30" s="89"/>
      <c r="M30" s="89"/>
      <c r="N30" s="89"/>
      <c r="O30" s="87"/>
      <c r="P30" s="132">
        <v>0</v>
      </c>
      <c r="Q30" s="133"/>
      <c r="R30" s="133"/>
      <c r="S30" s="134"/>
      <c r="T30" s="132">
        <v>0</v>
      </c>
      <c r="U30" s="133"/>
      <c r="V30" s="133"/>
      <c r="W30" s="132">
        <v>42.7</v>
      </c>
      <c r="X30" s="133"/>
      <c r="Y30" s="134"/>
      <c r="Z30" s="135">
        <f t="shared" si="0"/>
        <v>42.7</v>
      </c>
      <c r="AA30" s="135"/>
      <c r="AB30" s="135"/>
      <c r="AC30" s="119" t="s">
        <v>457</v>
      </c>
      <c r="AD30" s="119"/>
      <c r="AE30" s="119"/>
    </row>
    <row r="31" spans="1:31" s="11" customFormat="1" ht="12.95" customHeight="1" x14ac:dyDescent="0.2">
      <c r="A31" s="50">
        <v>26</v>
      </c>
      <c r="B31" s="46" t="s">
        <v>306</v>
      </c>
      <c r="C31" s="86"/>
      <c r="D31" s="89"/>
      <c r="E31" s="89"/>
      <c r="F31" s="87"/>
      <c r="G31" s="86" t="s">
        <v>424</v>
      </c>
      <c r="H31" s="89"/>
      <c r="I31" s="89"/>
      <c r="J31" s="89"/>
      <c r="K31" s="89"/>
      <c r="L31" s="89"/>
      <c r="M31" s="89"/>
      <c r="N31" s="89"/>
      <c r="O31" s="87"/>
      <c r="P31" s="132">
        <f>2.8+0.5</f>
        <v>3.3</v>
      </c>
      <c r="Q31" s="133"/>
      <c r="R31" s="133"/>
      <c r="S31" s="134"/>
      <c r="T31" s="132">
        <v>0</v>
      </c>
      <c r="U31" s="133"/>
      <c r="V31" s="133"/>
      <c r="W31" s="132">
        <v>4</v>
      </c>
      <c r="X31" s="133"/>
      <c r="Y31" s="134"/>
      <c r="Z31" s="135">
        <f t="shared" si="0"/>
        <v>4</v>
      </c>
      <c r="AA31" s="135"/>
      <c r="AB31" s="135"/>
      <c r="AC31" s="119" t="s">
        <v>457</v>
      </c>
      <c r="AD31" s="119"/>
      <c r="AE31" s="119"/>
    </row>
    <row r="32" spans="1:31" s="11" customFormat="1" ht="12.95" customHeight="1" x14ac:dyDescent="0.2">
      <c r="A32" s="101" t="s">
        <v>96</v>
      </c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5">
        <f>SUM(P7:S31)</f>
        <v>1817.1999999999996</v>
      </c>
      <c r="Q32" s="105"/>
      <c r="R32" s="105"/>
      <c r="S32" s="105"/>
      <c r="T32" s="108">
        <f>SUM(T7:V31)</f>
        <v>1419.9999999999998</v>
      </c>
      <c r="U32" s="108"/>
      <c r="V32" s="108"/>
      <c r="W32" s="119">
        <f>SUM(W7:Y31)</f>
        <v>1480.6</v>
      </c>
      <c r="X32" s="119"/>
      <c r="Y32" s="119"/>
      <c r="Z32" s="135">
        <f t="shared" si="0"/>
        <v>60.600000000000136</v>
      </c>
      <c r="AA32" s="135"/>
      <c r="AB32" s="135"/>
      <c r="AC32" s="119">
        <f t="shared" si="1"/>
        <v>1.0426760563380282</v>
      </c>
      <c r="AD32" s="119"/>
      <c r="AE32" s="119"/>
    </row>
    <row r="33" spans="1:31" s="11" customFormat="1" ht="5.25" customHeight="1" x14ac:dyDescent="0.2"/>
    <row r="34" spans="1:31" s="11" customFormat="1" ht="12.95" customHeight="1" x14ac:dyDescent="0.2">
      <c r="B34" s="117" t="s">
        <v>445</v>
      </c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7"/>
      <c r="AC34" s="117"/>
      <c r="AD34" s="117"/>
      <c r="AE34" s="117"/>
    </row>
    <row r="35" spans="1:31" s="11" customFormat="1" ht="6" customHeight="1" x14ac:dyDescent="0.2"/>
    <row r="36" spans="1:31" s="11" customFormat="1" ht="12.95" customHeight="1" x14ac:dyDescent="0.2">
      <c r="A36" s="101" t="s">
        <v>413</v>
      </c>
      <c r="B36" s="101" t="s">
        <v>446</v>
      </c>
      <c r="C36" s="101" t="s">
        <v>414</v>
      </c>
      <c r="D36" s="101"/>
      <c r="E36" s="101"/>
      <c r="F36" s="101"/>
      <c r="G36" s="101" t="s">
        <v>416</v>
      </c>
      <c r="H36" s="101"/>
      <c r="I36" s="101"/>
      <c r="J36" s="101"/>
      <c r="K36" s="101"/>
      <c r="L36" s="101"/>
      <c r="M36" s="101"/>
      <c r="N36" s="101"/>
      <c r="O36" s="101"/>
      <c r="P36" s="101"/>
      <c r="Q36" s="101" t="s">
        <v>447</v>
      </c>
      <c r="R36" s="101"/>
      <c r="S36" s="101"/>
      <c r="T36" s="101"/>
      <c r="U36" s="101"/>
      <c r="V36" s="101" t="s">
        <v>417</v>
      </c>
      <c r="W36" s="101"/>
      <c r="X36" s="101"/>
      <c r="Y36" s="101"/>
      <c r="Z36" s="101"/>
      <c r="AA36" s="101"/>
      <c r="AB36" s="101" t="s">
        <v>418</v>
      </c>
      <c r="AC36" s="101"/>
      <c r="AD36" s="101" t="s">
        <v>419</v>
      </c>
      <c r="AE36" s="101"/>
    </row>
    <row r="37" spans="1:31" s="11" customFormat="1" ht="51" customHeight="1" x14ac:dyDescent="0.2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 t="s">
        <v>420</v>
      </c>
      <c r="W37" s="101"/>
      <c r="X37" s="101" t="s">
        <v>421</v>
      </c>
      <c r="Y37" s="101"/>
      <c r="Z37" s="101" t="s">
        <v>422</v>
      </c>
      <c r="AA37" s="101"/>
      <c r="AB37" s="101"/>
      <c r="AC37" s="101"/>
      <c r="AD37" s="101"/>
      <c r="AE37" s="101"/>
    </row>
    <row r="38" spans="1:31" s="11" customFormat="1" ht="12.95" customHeight="1" x14ac:dyDescent="0.2">
      <c r="A38" s="50">
        <v>1</v>
      </c>
      <c r="B38" s="50">
        <v>2</v>
      </c>
      <c r="C38" s="115">
        <v>3</v>
      </c>
      <c r="D38" s="115"/>
      <c r="E38" s="115"/>
      <c r="F38" s="115"/>
      <c r="G38" s="115">
        <v>4</v>
      </c>
      <c r="H38" s="115"/>
      <c r="I38" s="115"/>
      <c r="J38" s="115"/>
      <c r="K38" s="115"/>
      <c r="L38" s="115"/>
      <c r="M38" s="115"/>
      <c r="N38" s="115"/>
      <c r="O38" s="115"/>
      <c r="P38" s="115"/>
      <c r="Q38" s="115">
        <v>5</v>
      </c>
      <c r="R38" s="115"/>
      <c r="S38" s="115"/>
      <c r="T38" s="115"/>
      <c r="U38" s="115"/>
      <c r="V38" s="115">
        <v>6</v>
      </c>
      <c r="W38" s="115"/>
      <c r="X38" s="115">
        <v>7</v>
      </c>
      <c r="Y38" s="115"/>
      <c r="Z38" s="115">
        <v>8</v>
      </c>
      <c r="AA38" s="115"/>
      <c r="AB38" s="115">
        <v>9</v>
      </c>
      <c r="AC38" s="115"/>
      <c r="AD38" s="115">
        <v>10</v>
      </c>
      <c r="AE38" s="115"/>
    </row>
    <row r="39" spans="1:31" s="11" customFormat="1" ht="12.95" customHeight="1" x14ac:dyDescent="0.2">
      <c r="A39" s="50">
        <v>1</v>
      </c>
      <c r="B39" s="46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19">
        <v>0</v>
      </c>
      <c r="W39" s="119"/>
      <c r="X39" s="101" t="s">
        <v>53</v>
      </c>
      <c r="Y39" s="101"/>
      <c r="Z39" s="101" t="s">
        <v>53</v>
      </c>
      <c r="AA39" s="101"/>
      <c r="AB39" s="101" t="s">
        <v>53</v>
      </c>
      <c r="AC39" s="101"/>
      <c r="AD39" s="101" t="s">
        <v>53</v>
      </c>
      <c r="AE39" s="101"/>
    </row>
    <row r="40" spans="1:31" s="11" customFormat="1" ht="12.95" hidden="1" customHeight="1" x14ac:dyDescent="0.2">
      <c r="A40" s="46"/>
      <c r="B40" s="46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 t="s">
        <v>53</v>
      </c>
      <c r="W40" s="101"/>
      <c r="X40" s="101" t="s">
        <v>53</v>
      </c>
      <c r="Y40" s="101"/>
      <c r="Z40" s="101" t="s">
        <v>53</v>
      </c>
      <c r="AA40" s="101"/>
      <c r="AB40" s="101" t="s">
        <v>53</v>
      </c>
      <c r="AC40" s="101"/>
      <c r="AD40" s="101" t="s">
        <v>53</v>
      </c>
      <c r="AE40" s="101"/>
    </row>
    <row r="41" spans="1:31" s="11" customFormat="1" ht="12.95" customHeight="1" x14ac:dyDescent="0.2">
      <c r="A41" s="101" t="s">
        <v>96</v>
      </c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 t="s">
        <v>53</v>
      </c>
      <c r="W41" s="101"/>
      <c r="X41" s="101" t="s">
        <v>53</v>
      </c>
      <c r="Y41" s="101"/>
      <c r="Z41" s="101" t="s">
        <v>53</v>
      </c>
      <c r="AA41" s="101"/>
      <c r="AB41" s="101" t="s">
        <v>53</v>
      </c>
      <c r="AC41" s="101"/>
      <c r="AD41" s="101" t="s">
        <v>53</v>
      </c>
      <c r="AE41" s="101"/>
    </row>
    <row r="42" spans="1:31" s="11" customFormat="1" ht="7.5" customHeight="1" x14ac:dyDescent="0.2"/>
    <row r="43" spans="1:31" s="11" customFormat="1" ht="12.95" hidden="1" customHeight="1" x14ac:dyDescent="0.2"/>
    <row r="44" spans="1:31" s="11" customFormat="1" ht="12.95" customHeight="1" x14ac:dyDescent="0.2">
      <c r="B44" s="117" t="s">
        <v>448</v>
      </c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</row>
    <row r="45" spans="1:31" s="11" customFormat="1" ht="12" customHeight="1" x14ac:dyDescent="0.2">
      <c r="AC45" s="93" t="s">
        <v>449</v>
      </c>
      <c r="AD45" s="93"/>
      <c r="AE45" s="93"/>
    </row>
    <row r="46" spans="1:31" s="11" customFormat="1" ht="12.95" customHeight="1" x14ac:dyDescent="0.2">
      <c r="A46" s="101" t="s">
        <v>413</v>
      </c>
      <c r="B46" s="101" t="s">
        <v>450</v>
      </c>
      <c r="C46" s="101"/>
      <c r="D46" s="101"/>
      <c r="E46" s="101"/>
      <c r="F46" s="101"/>
      <c r="G46" s="101"/>
      <c r="H46" s="101"/>
      <c r="I46" s="101"/>
      <c r="J46" s="101"/>
      <c r="K46" s="101"/>
      <c r="L46" s="86" t="s">
        <v>451</v>
      </c>
      <c r="M46" s="86"/>
      <c r="N46" s="86"/>
      <c r="O46" s="86"/>
      <c r="P46" s="86" t="s">
        <v>452</v>
      </c>
      <c r="Q46" s="86"/>
      <c r="R46" s="86"/>
      <c r="S46" s="86"/>
      <c r="T46" s="86" t="s">
        <v>453</v>
      </c>
      <c r="U46" s="86"/>
      <c r="V46" s="86"/>
      <c r="W46" s="86"/>
      <c r="X46" s="86" t="s">
        <v>454</v>
      </c>
      <c r="Y46" s="86"/>
      <c r="Z46" s="86"/>
      <c r="AA46" s="86"/>
      <c r="AB46" s="101" t="s">
        <v>96</v>
      </c>
      <c r="AC46" s="101"/>
      <c r="AD46" s="101"/>
      <c r="AE46" s="101"/>
    </row>
    <row r="47" spans="1:31" s="11" customFormat="1" ht="38.1" customHeight="1" x14ac:dyDescent="0.2">
      <c r="A47" s="101"/>
      <c r="B47" s="101"/>
      <c r="C47" s="101"/>
      <c r="D47" s="101"/>
      <c r="E47" s="101"/>
      <c r="F47" s="101"/>
      <c r="G47" s="101"/>
      <c r="H47" s="101"/>
      <c r="I47" s="101"/>
      <c r="J47" s="101"/>
      <c r="K47" s="101"/>
      <c r="L47" s="46" t="s">
        <v>47</v>
      </c>
      <c r="M47" s="46" t="s">
        <v>48</v>
      </c>
      <c r="N47" s="46" t="s">
        <v>49</v>
      </c>
      <c r="O47" s="46" t="s">
        <v>50</v>
      </c>
      <c r="P47" s="46" t="s">
        <v>47</v>
      </c>
      <c r="Q47" s="46" t="s">
        <v>48</v>
      </c>
      <c r="R47" s="46" t="s">
        <v>49</v>
      </c>
      <c r="S47" s="46" t="s">
        <v>50</v>
      </c>
      <c r="T47" s="46" t="s">
        <v>47</v>
      </c>
      <c r="U47" s="46" t="s">
        <v>48</v>
      </c>
      <c r="V47" s="46" t="s">
        <v>49</v>
      </c>
      <c r="W47" s="46" t="s">
        <v>50</v>
      </c>
      <c r="X47" s="46" t="s">
        <v>47</v>
      </c>
      <c r="Y47" s="46" t="s">
        <v>48</v>
      </c>
      <c r="Z47" s="46" t="s">
        <v>49</v>
      </c>
      <c r="AA47" s="46" t="s">
        <v>50</v>
      </c>
      <c r="AB47" s="46" t="s">
        <v>47</v>
      </c>
      <c r="AC47" s="46" t="s">
        <v>48</v>
      </c>
      <c r="AD47" s="46" t="s">
        <v>49</v>
      </c>
      <c r="AE47" s="46" t="s">
        <v>50</v>
      </c>
    </row>
    <row r="48" spans="1:31" s="11" customFormat="1" ht="12.95" customHeight="1" x14ac:dyDescent="0.2">
      <c r="A48" s="50">
        <v>1</v>
      </c>
      <c r="B48" s="115">
        <v>2</v>
      </c>
      <c r="C48" s="115"/>
      <c r="D48" s="115"/>
      <c r="E48" s="115"/>
      <c r="F48" s="115"/>
      <c r="G48" s="115"/>
      <c r="H48" s="115"/>
      <c r="I48" s="115"/>
      <c r="J48" s="115"/>
      <c r="K48" s="115"/>
      <c r="L48" s="50">
        <v>3</v>
      </c>
      <c r="M48" s="50">
        <v>4</v>
      </c>
      <c r="N48" s="50">
        <v>5</v>
      </c>
      <c r="O48" s="50">
        <v>6</v>
      </c>
      <c r="P48" s="50">
        <v>7</v>
      </c>
      <c r="Q48" s="50">
        <v>8</v>
      </c>
      <c r="R48" s="50">
        <v>9</v>
      </c>
      <c r="S48" s="50">
        <v>10</v>
      </c>
      <c r="T48" s="50">
        <v>11</v>
      </c>
      <c r="U48" s="50">
        <v>12</v>
      </c>
      <c r="V48" s="50">
        <v>13</v>
      </c>
      <c r="W48" s="50">
        <v>14</v>
      </c>
      <c r="X48" s="50">
        <v>15</v>
      </c>
      <c r="Y48" s="50">
        <v>16</v>
      </c>
      <c r="Z48" s="50">
        <v>17</v>
      </c>
      <c r="AA48" s="50">
        <v>18</v>
      </c>
      <c r="AB48" s="50">
        <v>19</v>
      </c>
      <c r="AC48" s="50">
        <v>20</v>
      </c>
      <c r="AD48" s="50">
        <v>21</v>
      </c>
      <c r="AE48" s="50">
        <v>22</v>
      </c>
    </row>
    <row r="49" spans="1:31" s="11" customFormat="1" ht="12.95" customHeight="1" x14ac:dyDescent="0.2">
      <c r="A49" s="46" t="s">
        <v>455</v>
      </c>
      <c r="B49" s="106" t="s">
        <v>456</v>
      </c>
      <c r="C49" s="106"/>
      <c r="D49" s="106"/>
      <c r="E49" s="106"/>
      <c r="F49" s="106"/>
      <c r="G49" s="106"/>
      <c r="H49" s="106"/>
      <c r="I49" s="106"/>
      <c r="J49" s="106"/>
      <c r="K49" s="106"/>
      <c r="L49" s="46" t="s">
        <v>457</v>
      </c>
      <c r="M49" s="46" t="s">
        <v>457</v>
      </c>
      <c r="N49" s="46" t="s">
        <v>457</v>
      </c>
      <c r="O49" s="46" t="s">
        <v>457</v>
      </c>
      <c r="P49" s="46" t="s">
        <v>457</v>
      </c>
      <c r="Q49" s="46" t="s">
        <v>457</v>
      </c>
      <c r="R49" s="46" t="s">
        <v>457</v>
      </c>
      <c r="S49" s="46" t="s">
        <v>457</v>
      </c>
      <c r="T49" s="32">
        <f>SUM(T50:T50)</f>
        <v>5000</v>
      </c>
      <c r="U49" s="32">
        <f>SUM(U50:U50)</f>
        <v>9433.1</v>
      </c>
      <c r="V49" s="32">
        <f>U49-T49</f>
        <v>4433.1000000000004</v>
      </c>
      <c r="W49" s="32">
        <f t="shared" ref="W49:W50" si="2">U49/T49*100</f>
        <v>188.66200000000001</v>
      </c>
      <c r="X49" s="32" t="s">
        <v>457</v>
      </c>
      <c r="Y49" s="32" t="s">
        <v>457</v>
      </c>
      <c r="Z49" s="32" t="s">
        <v>457</v>
      </c>
      <c r="AA49" s="32" t="s">
        <v>457</v>
      </c>
      <c r="AB49" s="32">
        <v>0</v>
      </c>
      <c r="AC49" s="32">
        <v>4660</v>
      </c>
      <c r="AD49" s="32">
        <f>V49</f>
        <v>4433.1000000000004</v>
      </c>
      <c r="AE49" s="32">
        <f>W49</f>
        <v>188.66200000000001</v>
      </c>
    </row>
    <row r="50" spans="1:31" s="11" customFormat="1" ht="12.95" customHeight="1" x14ac:dyDescent="0.2">
      <c r="A50" s="50">
        <v>1</v>
      </c>
      <c r="B50" s="106" t="s">
        <v>458</v>
      </c>
      <c r="C50" s="106"/>
      <c r="D50" s="106"/>
      <c r="E50" s="106"/>
      <c r="F50" s="106"/>
      <c r="G50" s="106"/>
      <c r="H50" s="106"/>
      <c r="I50" s="106"/>
      <c r="J50" s="106"/>
      <c r="K50" s="106"/>
      <c r="L50" s="46" t="s">
        <v>457</v>
      </c>
      <c r="M50" s="46" t="s">
        <v>457</v>
      </c>
      <c r="N50" s="46" t="s">
        <v>457</v>
      </c>
      <c r="O50" s="46" t="s">
        <v>457</v>
      </c>
      <c r="P50" s="46" t="s">
        <v>457</v>
      </c>
      <c r="Q50" s="46" t="s">
        <v>457</v>
      </c>
      <c r="R50" s="46" t="s">
        <v>457</v>
      </c>
      <c r="S50" s="46" t="s">
        <v>457</v>
      </c>
      <c r="T50" s="32">
        <v>5000</v>
      </c>
      <c r="U50" s="32">
        <v>9433.1</v>
      </c>
      <c r="V50" s="32">
        <f>U50-T50</f>
        <v>4433.1000000000004</v>
      </c>
      <c r="W50" s="32">
        <f t="shared" si="2"/>
        <v>188.66200000000001</v>
      </c>
      <c r="X50" s="32" t="s">
        <v>457</v>
      </c>
      <c r="Y50" s="32" t="s">
        <v>457</v>
      </c>
      <c r="Z50" s="32" t="s">
        <v>457</v>
      </c>
      <c r="AA50" s="32" t="s">
        <v>457</v>
      </c>
      <c r="AB50" s="32">
        <v>0</v>
      </c>
      <c r="AC50" s="32">
        <v>4660</v>
      </c>
      <c r="AD50" s="32">
        <f t="shared" ref="AD50:AD69" si="3">V50</f>
        <v>4433.1000000000004</v>
      </c>
      <c r="AE50" s="32">
        <f t="shared" ref="AE50:AE69" si="4">W50</f>
        <v>188.66200000000001</v>
      </c>
    </row>
    <row r="51" spans="1:31" s="11" customFormat="1" ht="12.95" customHeight="1" x14ac:dyDescent="0.2">
      <c r="A51" s="46" t="s">
        <v>459</v>
      </c>
      <c r="B51" s="106" t="s">
        <v>460</v>
      </c>
      <c r="C51" s="106"/>
      <c r="D51" s="106"/>
      <c r="E51" s="106"/>
      <c r="F51" s="106"/>
      <c r="G51" s="106"/>
      <c r="H51" s="106"/>
      <c r="I51" s="106"/>
      <c r="J51" s="106"/>
      <c r="K51" s="106"/>
      <c r="L51" s="46" t="s">
        <v>457</v>
      </c>
      <c r="M51" s="46" t="s">
        <v>457</v>
      </c>
      <c r="N51" s="46" t="s">
        <v>457</v>
      </c>
      <c r="O51" s="46" t="s">
        <v>457</v>
      </c>
      <c r="P51" s="46" t="s">
        <v>457</v>
      </c>
      <c r="Q51" s="46" t="s">
        <v>457</v>
      </c>
      <c r="R51" s="46" t="s">
        <v>457</v>
      </c>
      <c r="S51" s="46" t="s">
        <v>457</v>
      </c>
      <c r="T51" s="32">
        <f>SUM(T52:T56)</f>
        <v>6215</v>
      </c>
      <c r="U51" s="32">
        <f>SUM(U52:U56)</f>
        <v>13538.9</v>
      </c>
      <c r="V51" s="32">
        <f>U51-T51</f>
        <v>7323.9</v>
      </c>
      <c r="W51" s="32">
        <f>U51/T51*100</f>
        <v>217.84231697506033</v>
      </c>
      <c r="X51" s="32" t="s">
        <v>457</v>
      </c>
      <c r="Y51" s="32" t="s">
        <v>457</v>
      </c>
      <c r="Z51" s="32" t="s">
        <v>457</v>
      </c>
      <c r="AA51" s="32" t="s">
        <v>457</v>
      </c>
      <c r="AB51" s="32">
        <v>2340</v>
      </c>
      <c r="AC51" s="32">
        <v>6649</v>
      </c>
      <c r="AD51" s="32">
        <f t="shared" si="3"/>
        <v>7323.9</v>
      </c>
      <c r="AE51" s="32">
        <f t="shared" si="4"/>
        <v>217.84231697506033</v>
      </c>
    </row>
    <row r="52" spans="1:31" s="11" customFormat="1" ht="12.95" customHeight="1" x14ac:dyDescent="0.2">
      <c r="A52" s="50">
        <v>1</v>
      </c>
      <c r="B52" s="106" t="s">
        <v>461</v>
      </c>
      <c r="C52" s="106"/>
      <c r="D52" s="106"/>
      <c r="E52" s="106"/>
      <c r="F52" s="106"/>
      <c r="G52" s="106"/>
      <c r="H52" s="106"/>
      <c r="I52" s="106"/>
      <c r="J52" s="106"/>
      <c r="K52" s="106"/>
      <c r="L52" s="46" t="s">
        <v>457</v>
      </c>
      <c r="M52" s="46" t="s">
        <v>457</v>
      </c>
      <c r="N52" s="46" t="s">
        <v>457</v>
      </c>
      <c r="O52" s="46" t="s">
        <v>457</v>
      </c>
      <c r="P52" s="46" t="s">
        <v>457</v>
      </c>
      <c r="Q52" s="46" t="s">
        <v>457</v>
      </c>
      <c r="R52" s="46" t="s">
        <v>457</v>
      </c>
      <c r="S52" s="46" t="s">
        <v>457</v>
      </c>
      <c r="T52" s="32">
        <v>3735</v>
      </c>
      <c r="U52" s="32">
        <v>5943.7</v>
      </c>
      <c r="V52" s="32">
        <f t="shared" ref="V52:V69" si="5">U52-T52</f>
        <v>2208.6999999999998</v>
      </c>
      <c r="W52" s="32">
        <f t="shared" ref="W52:W69" si="6">U52/T52*100</f>
        <v>159.13520749665329</v>
      </c>
      <c r="X52" s="32" t="s">
        <v>457</v>
      </c>
      <c r="Y52" s="32" t="s">
        <v>457</v>
      </c>
      <c r="Z52" s="32" t="s">
        <v>457</v>
      </c>
      <c r="AA52" s="32" t="s">
        <v>457</v>
      </c>
      <c r="AB52" s="32">
        <v>1470</v>
      </c>
      <c r="AC52" s="32">
        <v>3576.8</v>
      </c>
      <c r="AD52" s="32">
        <f t="shared" si="3"/>
        <v>2208.6999999999998</v>
      </c>
      <c r="AE52" s="32">
        <f t="shared" si="4"/>
        <v>159.13520749665329</v>
      </c>
    </row>
    <row r="53" spans="1:31" s="11" customFormat="1" ht="12.95" customHeight="1" x14ac:dyDescent="0.2">
      <c r="A53" s="50">
        <v>2</v>
      </c>
      <c r="B53" s="106" t="s">
        <v>462</v>
      </c>
      <c r="C53" s="106"/>
      <c r="D53" s="106"/>
      <c r="E53" s="106"/>
      <c r="F53" s="106"/>
      <c r="G53" s="106"/>
      <c r="H53" s="106"/>
      <c r="I53" s="106"/>
      <c r="J53" s="106"/>
      <c r="K53" s="106"/>
      <c r="L53" s="46" t="s">
        <v>457</v>
      </c>
      <c r="M53" s="46" t="s">
        <v>457</v>
      </c>
      <c r="N53" s="46" t="s">
        <v>457</v>
      </c>
      <c r="O53" s="46" t="s">
        <v>457</v>
      </c>
      <c r="P53" s="46" t="s">
        <v>457</v>
      </c>
      <c r="Q53" s="46" t="s">
        <v>457</v>
      </c>
      <c r="R53" s="46" t="s">
        <v>457</v>
      </c>
      <c r="S53" s="46" t="s">
        <v>457</v>
      </c>
      <c r="T53" s="32">
        <v>640</v>
      </c>
      <c r="U53" s="32">
        <v>2708.9</v>
      </c>
      <c r="V53" s="32">
        <f t="shared" si="5"/>
        <v>2068.9</v>
      </c>
      <c r="W53" s="32">
        <f t="shared" si="6"/>
        <v>423.265625</v>
      </c>
      <c r="X53" s="32" t="s">
        <v>457</v>
      </c>
      <c r="Y53" s="32" t="s">
        <v>457</v>
      </c>
      <c r="Z53" s="32" t="s">
        <v>457</v>
      </c>
      <c r="AA53" s="32" t="s">
        <v>457</v>
      </c>
      <c r="AB53" s="32">
        <v>205</v>
      </c>
      <c r="AC53" s="32">
        <v>1728.5</v>
      </c>
      <c r="AD53" s="32">
        <f t="shared" si="3"/>
        <v>2068.9</v>
      </c>
      <c r="AE53" s="32">
        <f t="shared" si="4"/>
        <v>423.265625</v>
      </c>
    </row>
    <row r="54" spans="1:31" s="11" customFormat="1" ht="12.95" customHeight="1" x14ac:dyDescent="0.2">
      <c r="A54" s="50">
        <v>3</v>
      </c>
      <c r="B54" s="106" t="s">
        <v>463</v>
      </c>
      <c r="C54" s="106"/>
      <c r="D54" s="106"/>
      <c r="E54" s="106"/>
      <c r="F54" s="106"/>
      <c r="G54" s="106"/>
      <c r="H54" s="106"/>
      <c r="I54" s="106"/>
      <c r="J54" s="106"/>
      <c r="K54" s="106"/>
      <c r="L54" s="46" t="s">
        <v>457</v>
      </c>
      <c r="M54" s="46" t="s">
        <v>457</v>
      </c>
      <c r="N54" s="46" t="s">
        <v>457</v>
      </c>
      <c r="O54" s="46" t="s">
        <v>457</v>
      </c>
      <c r="P54" s="46" t="s">
        <v>457</v>
      </c>
      <c r="Q54" s="46" t="s">
        <v>457</v>
      </c>
      <c r="R54" s="46" t="s">
        <v>457</v>
      </c>
      <c r="S54" s="46" t="s">
        <v>457</v>
      </c>
      <c r="T54" s="32">
        <v>1000</v>
      </c>
      <c r="U54" s="32">
        <v>3082.2</v>
      </c>
      <c r="V54" s="32">
        <f t="shared" si="5"/>
        <v>2082.1999999999998</v>
      </c>
      <c r="W54" s="32">
        <f t="shared" si="6"/>
        <v>308.21999999999997</v>
      </c>
      <c r="X54" s="32" t="s">
        <v>457</v>
      </c>
      <c r="Y54" s="32" t="s">
        <v>457</v>
      </c>
      <c r="Z54" s="32" t="s">
        <v>457</v>
      </c>
      <c r="AA54" s="32" t="s">
        <v>457</v>
      </c>
      <c r="AB54" s="32">
        <v>300</v>
      </c>
      <c r="AC54" s="32">
        <v>1189.3</v>
      </c>
      <c r="AD54" s="32">
        <f t="shared" si="3"/>
        <v>2082.1999999999998</v>
      </c>
      <c r="AE54" s="32">
        <f t="shared" si="4"/>
        <v>308.21999999999997</v>
      </c>
    </row>
    <row r="55" spans="1:31" s="11" customFormat="1" ht="12.95" customHeight="1" x14ac:dyDescent="0.2">
      <c r="A55" s="50">
        <v>4</v>
      </c>
      <c r="B55" s="113" t="s">
        <v>554</v>
      </c>
      <c r="C55" s="106"/>
      <c r="D55" s="106"/>
      <c r="E55" s="106"/>
      <c r="F55" s="106"/>
      <c r="G55" s="106"/>
      <c r="H55" s="106"/>
      <c r="I55" s="106"/>
      <c r="J55" s="106"/>
      <c r="K55" s="106"/>
      <c r="L55" s="46" t="s">
        <v>457</v>
      </c>
      <c r="M55" s="46" t="s">
        <v>457</v>
      </c>
      <c r="N55" s="46" t="s">
        <v>457</v>
      </c>
      <c r="O55" s="46" t="s">
        <v>457</v>
      </c>
      <c r="P55" s="46" t="s">
        <v>457</v>
      </c>
      <c r="Q55" s="46" t="s">
        <v>457</v>
      </c>
      <c r="R55" s="46" t="s">
        <v>457</v>
      </c>
      <c r="S55" s="46" t="s">
        <v>457</v>
      </c>
      <c r="T55" s="32">
        <v>285</v>
      </c>
      <c r="U55" s="32">
        <v>150.9</v>
      </c>
      <c r="V55" s="32">
        <f t="shared" si="5"/>
        <v>-134.1</v>
      </c>
      <c r="W55" s="32">
        <f t="shared" si="6"/>
        <v>52.94736842105263</v>
      </c>
      <c r="X55" s="32" t="s">
        <v>457</v>
      </c>
      <c r="Y55" s="32" t="s">
        <v>457</v>
      </c>
      <c r="Z55" s="32" t="s">
        <v>457</v>
      </c>
      <c r="AA55" s="32" t="s">
        <v>457</v>
      </c>
      <c r="AB55" s="32">
        <v>140</v>
      </c>
      <c r="AC55" s="32">
        <v>0</v>
      </c>
      <c r="AD55" s="32">
        <f t="shared" si="3"/>
        <v>-134.1</v>
      </c>
      <c r="AE55" s="32">
        <f t="shared" si="4"/>
        <v>52.94736842105263</v>
      </c>
    </row>
    <row r="56" spans="1:31" s="11" customFormat="1" ht="12.95" customHeight="1" x14ac:dyDescent="0.2">
      <c r="A56" s="50">
        <v>6</v>
      </c>
      <c r="B56" s="113" t="s">
        <v>537</v>
      </c>
      <c r="C56" s="106"/>
      <c r="D56" s="106"/>
      <c r="E56" s="106"/>
      <c r="F56" s="106"/>
      <c r="G56" s="106"/>
      <c r="H56" s="106"/>
      <c r="I56" s="106"/>
      <c r="J56" s="106"/>
      <c r="K56" s="106"/>
      <c r="L56" s="46" t="s">
        <v>457</v>
      </c>
      <c r="M56" s="46" t="s">
        <v>457</v>
      </c>
      <c r="N56" s="46" t="s">
        <v>457</v>
      </c>
      <c r="O56" s="46" t="s">
        <v>457</v>
      </c>
      <c r="P56" s="46" t="s">
        <v>457</v>
      </c>
      <c r="Q56" s="46" t="s">
        <v>457</v>
      </c>
      <c r="R56" s="46" t="s">
        <v>457</v>
      </c>
      <c r="S56" s="46" t="s">
        <v>457</v>
      </c>
      <c r="T56" s="32">
        <v>555</v>
      </c>
      <c r="U56" s="32">
        <v>1653.2</v>
      </c>
      <c r="V56" s="32">
        <f t="shared" si="5"/>
        <v>1098.2</v>
      </c>
      <c r="W56" s="32">
        <f t="shared" si="6"/>
        <v>297.87387387387389</v>
      </c>
      <c r="X56" s="32" t="s">
        <v>457</v>
      </c>
      <c r="Y56" s="32" t="s">
        <v>457</v>
      </c>
      <c r="Z56" s="32" t="s">
        <v>457</v>
      </c>
      <c r="AA56" s="32" t="s">
        <v>457</v>
      </c>
      <c r="AB56" s="32">
        <v>225</v>
      </c>
      <c r="AC56" s="32">
        <v>154.4</v>
      </c>
      <c r="AD56" s="32">
        <f t="shared" si="3"/>
        <v>1098.2</v>
      </c>
      <c r="AE56" s="32">
        <f t="shared" si="4"/>
        <v>297.87387387387389</v>
      </c>
    </row>
    <row r="57" spans="1:31" s="11" customFormat="1" ht="12.95" customHeight="1" x14ac:dyDescent="0.2">
      <c r="A57" s="46" t="s">
        <v>464</v>
      </c>
      <c r="B57" s="106" t="s">
        <v>465</v>
      </c>
      <c r="C57" s="106"/>
      <c r="D57" s="106"/>
      <c r="E57" s="106"/>
      <c r="F57" s="106"/>
      <c r="G57" s="106"/>
      <c r="H57" s="106"/>
      <c r="I57" s="106"/>
      <c r="J57" s="106"/>
      <c r="K57" s="106"/>
      <c r="L57" s="46" t="s">
        <v>457</v>
      </c>
      <c r="M57" s="46" t="s">
        <v>457</v>
      </c>
      <c r="N57" s="46" t="s">
        <v>457</v>
      </c>
      <c r="O57" s="46" t="s">
        <v>457</v>
      </c>
      <c r="P57" s="46" t="s">
        <v>457</v>
      </c>
      <c r="Q57" s="46" t="s">
        <v>457</v>
      </c>
      <c r="R57" s="46" t="s">
        <v>457</v>
      </c>
      <c r="S57" s="46" t="s">
        <v>457</v>
      </c>
      <c r="T57" s="32">
        <v>0</v>
      </c>
      <c r="U57" s="32">
        <v>0</v>
      </c>
      <c r="V57" s="32">
        <f t="shared" si="5"/>
        <v>0</v>
      </c>
      <c r="W57" s="32" t="s">
        <v>457</v>
      </c>
      <c r="X57" s="32" t="s">
        <v>457</v>
      </c>
      <c r="Y57" s="32" t="s">
        <v>457</v>
      </c>
      <c r="Z57" s="32" t="s">
        <v>457</v>
      </c>
      <c r="AA57" s="32" t="s">
        <v>457</v>
      </c>
      <c r="AB57" s="32">
        <v>0</v>
      </c>
      <c r="AC57" s="32">
        <v>0</v>
      </c>
      <c r="AD57" s="32">
        <f t="shared" si="3"/>
        <v>0</v>
      </c>
      <c r="AE57" s="32" t="str">
        <f t="shared" si="4"/>
        <v>-</v>
      </c>
    </row>
    <row r="58" spans="1:31" s="11" customFormat="1" ht="12.95" customHeight="1" x14ac:dyDescent="0.2">
      <c r="A58" s="46" t="s">
        <v>466</v>
      </c>
      <c r="B58" s="106" t="s">
        <v>467</v>
      </c>
      <c r="C58" s="106"/>
      <c r="D58" s="106"/>
      <c r="E58" s="106"/>
      <c r="F58" s="106"/>
      <c r="G58" s="106"/>
      <c r="H58" s="106"/>
      <c r="I58" s="106"/>
      <c r="J58" s="106"/>
      <c r="K58" s="106"/>
      <c r="L58" s="46" t="s">
        <v>457</v>
      </c>
      <c r="M58" s="46" t="s">
        <v>457</v>
      </c>
      <c r="N58" s="46" t="s">
        <v>457</v>
      </c>
      <c r="O58" s="46" t="s">
        <v>457</v>
      </c>
      <c r="P58" s="46" t="s">
        <v>457</v>
      </c>
      <c r="Q58" s="46" t="s">
        <v>457</v>
      </c>
      <c r="R58" s="46" t="s">
        <v>457</v>
      </c>
      <c r="S58" s="46" t="s">
        <v>457</v>
      </c>
      <c r="T58" s="32">
        <f>SUM(T59:T60)</f>
        <v>3505</v>
      </c>
      <c r="U58" s="32">
        <f>SUM(U59:U59)</f>
        <v>176</v>
      </c>
      <c r="V58" s="32">
        <f t="shared" si="5"/>
        <v>-3329</v>
      </c>
      <c r="W58" s="32">
        <f t="shared" si="6"/>
        <v>5.0213980028530667</v>
      </c>
      <c r="X58" s="32" t="s">
        <v>457</v>
      </c>
      <c r="Y58" s="32" t="s">
        <v>457</v>
      </c>
      <c r="Z58" s="32" t="s">
        <v>457</v>
      </c>
      <c r="AA58" s="32" t="s">
        <v>457</v>
      </c>
      <c r="AB58" s="32">
        <v>975</v>
      </c>
      <c r="AC58" s="32">
        <v>46</v>
      </c>
      <c r="AD58" s="32">
        <f t="shared" si="3"/>
        <v>-3329</v>
      </c>
      <c r="AE58" s="32">
        <f t="shared" si="4"/>
        <v>5.0213980028530667</v>
      </c>
    </row>
    <row r="59" spans="1:31" s="11" customFormat="1" ht="13.5" customHeight="1" x14ac:dyDescent="0.2">
      <c r="A59" s="50">
        <v>1</v>
      </c>
      <c r="B59" s="113" t="s">
        <v>538</v>
      </c>
      <c r="C59" s="106"/>
      <c r="D59" s="106"/>
      <c r="E59" s="106"/>
      <c r="F59" s="106"/>
      <c r="G59" s="106"/>
      <c r="H59" s="106"/>
      <c r="I59" s="106"/>
      <c r="J59" s="106"/>
      <c r="K59" s="106"/>
      <c r="L59" s="46" t="s">
        <v>457</v>
      </c>
      <c r="M59" s="46" t="s">
        <v>457</v>
      </c>
      <c r="N59" s="46" t="s">
        <v>457</v>
      </c>
      <c r="O59" s="46" t="s">
        <v>457</v>
      </c>
      <c r="P59" s="46" t="s">
        <v>457</v>
      </c>
      <c r="Q59" s="46" t="s">
        <v>457</v>
      </c>
      <c r="R59" s="46" t="s">
        <v>457</v>
      </c>
      <c r="S59" s="46" t="s">
        <v>457</v>
      </c>
      <c r="T59" s="32">
        <v>3075</v>
      </c>
      <c r="U59" s="32">
        <v>176</v>
      </c>
      <c r="V59" s="32">
        <f t="shared" si="5"/>
        <v>-2899</v>
      </c>
      <c r="W59" s="32">
        <f t="shared" si="6"/>
        <v>5.7235772357723578</v>
      </c>
      <c r="X59" s="32" t="s">
        <v>457</v>
      </c>
      <c r="Y59" s="32" t="s">
        <v>457</v>
      </c>
      <c r="Z59" s="32" t="s">
        <v>457</v>
      </c>
      <c r="AA59" s="32" t="s">
        <v>457</v>
      </c>
      <c r="AB59" s="32">
        <v>760</v>
      </c>
      <c r="AC59" s="32">
        <v>46</v>
      </c>
      <c r="AD59" s="32">
        <f t="shared" si="3"/>
        <v>-2899</v>
      </c>
      <c r="AE59" s="32">
        <f t="shared" si="4"/>
        <v>5.7235772357723578</v>
      </c>
    </row>
    <row r="60" spans="1:31" s="11" customFormat="1" ht="13.5" customHeight="1" x14ac:dyDescent="0.2">
      <c r="A60" s="50">
        <v>2</v>
      </c>
      <c r="B60" s="113" t="s">
        <v>576</v>
      </c>
      <c r="C60" s="106"/>
      <c r="D60" s="106"/>
      <c r="E60" s="106"/>
      <c r="F60" s="106"/>
      <c r="G60" s="106"/>
      <c r="H60" s="106"/>
      <c r="I60" s="106"/>
      <c r="J60" s="106"/>
      <c r="K60" s="106"/>
      <c r="L60" s="46" t="s">
        <v>457</v>
      </c>
      <c r="M60" s="46" t="s">
        <v>457</v>
      </c>
      <c r="N60" s="46" t="s">
        <v>457</v>
      </c>
      <c r="O60" s="46" t="s">
        <v>457</v>
      </c>
      <c r="P60" s="46" t="s">
        <v>457</v>
      </c>
      <c r="Q60" s="46" t="s">
        <v>457</v>
      </c>
      <c r="R60" s="46" t="s">
        <v>457</v>
      </c>
      <c r="S60" s="46" t="s">
        <v>457</v>
      </c>
      <c r="T60" s="32">
        <v>430</v>
      </c>
      <c r="U60" s="32">
        <v>0</v>
      </c>
      <c r="V60" s="32">
        <f t="shared" si="5"/>
        <v>-430</v>
      </c>
      <c r="W60" s="32">
        <f t="shared" si="6"/>
        <v>0</v>
      </c>
      <c r="X60" s="32" t="s">
        <v>457</v>
      </c>
      <c r="Y60" s="32" t="s">
        <v>457</v>
      </c>
      <c r="Z60" s="32" t="s">
        <v>457</v>
      </c>
      <c r="AA60" s="32" t="s">
        <v>457</v>
      </c>
      <c r="AB60" s="32">
        <v>215</v>
      </c>
      <c r="AC60" s="32">
        <v>0</v>
      </c>
      <c r="AD60" s="32">
        <f>V60</f>
        <v>-430</v>
      </c>
      <c r="AE60" s="32">
        <f>W60</f>
        <v>0</v>
      </c>
    </row>
    <row r="61" spans="1:31" s="11" customFormat="1" ht="12.95" customHeight="1" x14ac:dyDescent="0.2">
      <c r="A61" s="46" t="s">
        <v>468</v>
      </c>
      <c r="B61" s="106" t="s">
        <v>469</v>
      </c>
      <c r="C61" s="106"/>
      <c r="D61" s="106"/>
      <c r="E61" s="106"/>
      <c r="F61" s="106"/>
      <c r="G61" s="106"/>
      <c r="H61" s="106"/>
      <c r="I61" s="106"/>
      <c r="J61" s="106"/>
      <c r="K61" s="106"/>
      <c r="L61" s="46" t="s">
        <v>457</v>
      </c>
      <c r="M61" s="46" t="s">
        <v>457</v>
      </c>
      <c r="N61" s="46" t="s">
        <v>457</v>
      </c>
      <c r="O61" s="46" t="s">
        <v>457</v>
      </c>
      <c r="P61" s="46" t="s">
        <v>457</v>
      </c>
      <c r="Q61" s="46" t="s">
        <v>457</v>
      </c>
      <c r="R61" s="46" t="s">
        <v>457</v>
      </c>
      <c r="S61" s="46" t="s">
        <v>457</v>
      </c>
      <c r="T61" s="32">
        <f>SUM(T62:T64)</f>
        <v>5900</v>
      </c>
      <c r="U61" s="32">
        <f>SUM(U62:U64)</f>
        <v>0</v>
      </c>
      <c r="V61" s="32">
        <f t="shared" si="5"/>
        <v>-5900</v>
      </c>
      <c r="W61" s="32" t="s">
        <v>457</v>
      </c>
      <c r="X61" s="32" t="s">
        <v>457</v>
      </c>
      <c r="Y61" s="32" t="s">
        <v>457</v>
      </c>
      <c r="Z61" s="32" t="s">
        <v>457</v>
      </c>
      <c r="AA61" s="32" t="s">
        <v>457</v>
      </c>
      <c r="AB61" s="32">
        <v>0</v>
      </c>
      <c r="AC61" s="32">
        <v>0</v>
      </c>
      <c r="AD61" s="32">
        <f t="shared" si="3"/>
        <v>-5900</v>
      </c>
      <c r="AE61" s="32" t="str">
        <f t="shared" si="4"/>
        <v>-</v>
      </c>
    </row>
    <row r="62" spans="1:31" s="11" customFormat="1" ht="12.95" customHeight="1" x14ac:dyDescent="0.2">
      <c r="A62" s="50">
        <v>1</v>
      </c>
      <c r="B62" s="106" t="s">
        <v>470</v>
      </c>
      <c r="C62" s="106"/>
      <c r="D62" s="106"/>
      <c r="E62" s="106"/>
      <c r="F62" s="106"/>
      <c r="G62" s="106"/>
      <c r="H62" s="106"/>
      <c r="I62" s="106"/>
      <c r="J62" s="106"/>
      <c r="K62" s="106"/>
      <c r="L62" s="46" t="s">
        <v>457</v>
      </c>
      <c r="M62" s="46" t="s">
        <v>457</v>
      </c>
      <c r="N62" s="46" t="s">
        <v>457</v>
      </c>
      <c r="O62" s="46" t="s">
        <v>457</v>
      </c>
      <c r="P62" s="46" t="s">
        <v>457</v>
      </c>
      <c r="Q62" s="46" t="s">
        <v>457</v>
      </c>
      <c r="R62" s="46" t="s">
        <v>457</v>
      </c>
      <c r="S62" s="46" t="s">
        <v>457</v>
      </c>
      <c r="T62" s="32">
        <v>5000</v>
      </c>
      <c r="U62" s="32">
        <v>0</v>
      </c>
      <c r="V62" s="32">
        <f t="shared" si="5"/>
        <v>-5000</v>
      </c>
      <c r="W62" s="32" t="s">
        <v>457</v>
      </c>
      <c r="X62" s="32" t="s">
        <v>457</v>
      </c>
      <c r="Y62" s="32" t="s">
        <v>457</v>
      </c>
      <c r="Z62" s="32" t="s">
        <v>457</v>
      </c>
      <c r="AA62" s="32" t="s">
        <v>457</v>
      </c>
      <c r="AB62" s="32">
        <v>0</v>
      </c>
      <c r="AC62" s="32">
        <v>0</v>
      </c>
      <c r="AD62" s="32">
        <f t="shared" si="3"/>
        <v>-5000</v>
      </c>
      <c r="AE62" s="32" t="str">
        <f t="shared" si="4"/>
        <v>-</v>
      </c>
    </row>
    <row r="63" spans="1:31" s="11" customFormat="1" ht="11.25" customHeight="1" x14ac:dyDescent="0.2">
      <c r="A63" s="50">
        <v>2</v>
      </c>
      <c r="B63" s="113" t="s">
        <v>471</v>
      </c>
      <c r="C63" s="106"/>
      <c r="D63" s="106"/>
      <c r="E63" s="106"/>
      <c r="F63" s="106"/>
      <c r="G63" s="106"/>
      <c r="H63" s="106"/>
      <c r="I63" s="106"/>
      <c r="J63" s="106"/>
      <c r="K63" s="106"/>
      <c r="L63" s="46" t="s">
        <v>457</v>
      </c>
      <c r="M63" s="46" t="s">
        <v>457</v>
      </c>
      <c r="N63" s="46" t="s">
        <v>457</v>
      </c>
      <c r="O63" s="46" t="s">
        <v>457</v>
      </c>
      <c r="P63" s="46" t="s">
        <v>457</v>
      </c>
      <c r="Q63" s="46" t="s">
        <v>457</v>
      </c>
      <c r="R63" s="46" t="s">
        <v>457</v>
      </c>
      <c r="S63" s="46" t="s">
        <v>457</v>
      </c>
      <c r="T63" s="32">
        <v>0</v>
      </c>
      <c r="U63" s="32">
        <v>0</v>
      </c>
      <c r="V63" s="32">
        <f t="shared" si="5"/>
        <v>0</v>
      </c>
      <c r="W63" s="32" t="s">
        <v>457</v>
      </c>
      <c r="X63" s="32" t="s">
        <v>457</v>
      </c>
      <c r="Y63" s="32" t="s">
        <v>457</v>
      </c>
      <c r="Z63" s="32" t="s">
        <v>457</v>
      </c>
      <c r="AA63" s="32" t="s">
        <v>457</v>
      </c>
      <c r="AB63" s="32">
        <v>0</v>
      </c>
      <c r="AC63" s="32">
        <v>0</v>
      </c>
      <c r="AD63" s="32">
        <f t="shared" si="3"/>
        <v>0</v>
      </c>
      <c r="AE63" s="32" t="str">
        <f t="shared" si="4"/>
        <v>-</v>
      </c>
    </row>
    <row r="64" spans="1:31" s="11" customFormat="1" ht="12.95" customHeight="1" x14ac:dyDescent="0.2">
      <c r="A64" s="50">
        <v>3</v>
      </c>
      <c r="B64" s="106" t="s">
        <v>549</v>
      </c>
      <c r="C64" s="106"/>
      <c r="D64" s="106"/>
      <c r="E64" s="106"/>
      <c r="F64" s="106"/>
      <c r="G64" s="106"/>
      <c r="H64" s="106"/>
      <c r="I64" s="106"/>
      <c r="J64" s="106"/>
      <c r="K64" s="106"/>
      <c r="L64" s="46" t="s">
        <v>457</v>
      </c>
      <c r="M64" s="46" t="s">
        <v>457</v>
      </c>
      <c r="N64" s="46" t="s">
        <v>457</v>
      </c>
      <c r="O64" s="46" t="s">
        <v>457</v>
      </c>
      <c r="P64" s="46" t="s">
        <v>457</v>
      </c>
      <c r="Q64" s="46" t="s">
        <v>457</v>
      </c>
      <c r="R64" s="46" t="s">
        <v>457</v>
      </c>
      <c r="S64" s="46" t="s">
        <v>457</v>
      </c>
      <c r="T64" s="32">
        <v>900</v>
      </c>
      <c r="U64" s="32">
        <v>0</v>
      </c>
      <c r="V64" s="32">
        <f t="shared" si="5"/>
        <v>-900</v>
      </c>
      <c r="W64" s="32" t="s">
        <v>457</v>
      </c>
      <c r="X64" s="32" t="s">
        <v>457</v>
      </c>
      <c r="Y64" s="32" t="s">
        <v>457</v>
      </c>
      <c r="Z64" s="32" t="s">
        <v>457</v>
      </c>
      <c r="AA64" s="32" t="s">
        <v>457</v>
      </c>
      <c r="AB64" s="32">
        <v>0</v>
      </c>
      <c r="AC64" s="32">
        <v>0</v>
      </c>
      <c r="AD64" s="32">
        <f t="shared" si="3"/>
        <v>-900</v>
      </c>
      <c r="AE64" s="32" t="str">
        <f t="shared" si="4"/>
        <v>-</v>
      </c>
    </row>
    <row r="65" spans="1:31" s="11" customFormat="1" ht="12.95" customHeight="1" x14ac:dyDescent="0.2">
      <c r="A65" s="46" t="s">
        <v>472</v>
      </c>
      <c r="B65" s="113" t="s">
        <v>473</v>
      </c>
      <c r="C65" s="106"/>
      <c r="D65" s="106"/>
      <c r="E65" s="106"/>
      <c r="F65" s="106"/>
      <c r="G65" s="106"/>
      <c r="H65" s="106"/>
      <c r="I65" s="106"/>
      <c r="J65" s="106"/>
      <c r="K65" s="106"/>
      <c r="L65" s="46" t="s">
        <v>457</v>
      </c>
      <c r="M65" s="46" t="s">
        <v>457</v>
      </c>
      <c r="N65" s="46" t="s">
        <v>457</v>
      </c>
      <c r="O65" s="46" t="s">
        <v>457</v>
      </c>
      <c r="P65" s="46" t="s">
        <v>457</v>
      </c>
      <c r="Q65" s="46" t="s">
        <v>457</v>
      </c>
      <c r="R65" s="46" t="s">
        <v>457</v>
      </c>
      <c r="S65" s="46" t="s">
        <v>457</v>
      </c>
      <c r="T65" s="32">
        <f>SUM(T66:T67)</f>
        <v>400</v>
      </c>
      <c r="U65" s="32">
        <f>SUM(U66:U68)</f>
        <v>1495</v>
      </c>
      <c r="V65" s="32">
        <f t="shared" si="5"/>
        <v>1095</v>
      </c>
      <c r="W65" s="32">
        <f t="shared" si="6"/>
        <v>373.75</v>
      </c>
      <c r="X65" s="32" t="s">
        <v>457</v>
      </c>
      <c r="Y65" s="32" t="s">
        <v>457</v>
      </c>
      <c r="Z65" s="32" t="s">
        <v>457</v>
      </c>
      <c r="AA65" s="32" t="s">
        <v>457</v>
      </c>
      <c r="AB65" s="32">
        <v>200</v>
      </c>
      <c r="AC65" s="32">
        <v>375</v>
      </c>
      <c r="AD65" s="32">
        <f t="shared" si="3"/>
        <v>1095</v>
      </c>
      <c r="AE65" s="32">
        <f t="shared" si="4"/>
        <v>373.75</v>
      </c>
    </row>
    <row r="66" spans="1:31" s="11" customFormat="1" ht="23.25" customHeight="1" x14ac:dyDescent="0.2">
      <c r="A66" s="50">
        <v>1</v>
      </c>
      <c r="B66" s="113" t="s">
        <v>552</v>
      </c>
      <c r="C66" s="106"/>
      <c r="D66" s="106"/>
      <c r="E66" s="106"/>
      <c r="F66" s="106"/>
      <c r="G66" s="106"/>
      <c r="H66" s="106"/>
      <c r="I66" s="106"/>
      <c r="J66" s="106"/>
      <c r="K66" s="106"/>
      <c r="L66" s="46" t="s">
        <v>457</v>
      </c>
      <c r="M66" s="46" t="s">
        <v>457</v>
      </c>
      <c r="N66" s="46" t="s">
        <v>457</v>
      </c>
      <c r="O66" s="46" t="s">
        <v>457</v>
      </c>
      <c r="P66" s="46" t="s">
        <v>457</v>
      </c>
      <c r="Q66" s="46" t="s">
        <v>457</v>
      </c>
      <c r="R66" s="46" t="s">
        <v>457</v>
      </c>
      <c r="S66" s="46" t="s">
        <v>457</v>
      </c>
      <c r="T66" s="32">
        <v>0</v>
      </c>
      <c r="U66" s="32">
        <v>1074</v>
      </c>
      <c r="V66" s="32">
        <f t="shared" si="5"/>
        <v>1074</v>
      </c>
      <c r="W66" s="32">
        <v>0</v>
      </c>
      <c r="X66" s="32" t="s">
        <v>457</v>
      </c>
      <c r="Y66" s="32" t="s">
        <v>457</v>
      </c>
      <c r="Z66" s="32" t="s">
        <v>457</v>
      </c>
      <c r="AA66" s="32" t="s">
        <v>457</v>
      </c>
      <c r="AB66" s="32">
        <v>0</v>
      </c>
      <c r="AC66" s="32">
        <v>0</v>
      </c>
      <c r="AD66" s="32">
        <f t="shared" si="3"/>
        <v>1074</v>
      </c>
      <c r="AE66" s="32">
        <f t="shared" si="4"/>
        <v>0</v>
      </c>
    </row>
    <row r="67" spans="1:31" s="11" customFormat="1" ht="12.95" customHeight="1" x14ac:dyDescent="0.2">
      <c r="A67" s="50">
        <v>2</v>
      </c>
      <c r="B67" s="106" t="s">
        <v>555</v>
      </c>
      <c r="C67" s="106"/>
      <c r="D67" s="106"/>
      <c r="E67" s="106"/>
      <c r="F67" s="106"/>
      <c r="G67" s="106"/>
      <c r="H67" s="106"/>
      <c r="I67" s="106"/>
      <c r="J67" s="106"/>
      <c r="K67" s="106"/>
      <c r="L67" s="46" t="s">
        <v>457</v>
      </c>
      <c r="M67" s="46" t="s">
        <v>457</v>
      </c>
      <c r="N67" s="46" t="s">
        <v>457</v>
      </c>
      <c r="O67" s="46" t="s">
        <v>457</v>
      </c>
      <c r="P67" s="46" t="s">
        <v>457</v>
      </c>
      <c r="Q67" s="46" t="s">
        <v>457</v>
      </c>
      <c r="R67" s="46" t="s">
        <v>457</v>
      </c>
      <c r="S67" s="46" t="s">
        <v>457</v>
      </c>
      <c r="T67" s="32">
        <v>400</v>
      </c>
      <c r="U67" s="32">
        <v>74</v>
      </c>
      <c r="V67" s="32">
        <f t="shared" si="5"/>
        <v>-326</v>
      </c>
      <c r="W67" s="32">
        <f t="shared" si="6"/>
        <v>18.5</v>
      </c>
      <c r="X67" s="32" t="s">
        <v>457</v>
      </c>
      <c r="Y67" s="32" t="s">
        <v>457</v>
      </c>
      <c r="Z67" s="32" t="s">
        <v>457</v>
      </c>
      <c r="AA67" s="32" t="s">
        <v>457</v>
      </c>
      <c r="AB67" s="32">
        <v>200</v>
      </c>
      <c r="AC67" s="32">
        <v>28</v>
      </c>
      <c r="AD67" s="32">
        <f t="shared" si="3"/>
        <v>-326</v>
      </c>
      <c r="AE67" s="32">
        <f t="shared" si="4"/>
        <v>18.5</v>
      </c>
    </row>
    <row r="68" spans="1:31" s="11" customFormat="1" ht="12.95" customHeight="1" x14ac:dyDescent="0.2">
      <c r="A68" s="46">
        <v>3</v>
      </c>
      <c r="B68" s="113" t="s">
        <v>574</v>
      </c>
      <c r="C68" s="106"/>
      <c r="D68" s="106"/>
      <c r="E68" s="106"/>
      <c r="F68" s="106"/>
      <c r="G68" s="106"/>
      <c r="H68" s="106"/>
      <c r="I68" s="106"/>
      <c r="J68" s="106"/>
      <c r="K68" s="106"/>
      <c r="L68" s="46" t="s">
        <v>457</v>
      </c>
      <c r="M68" s="46" t="s">
        <v>457</v>
      </c>
      <c r="N68" s="46" t="s">
        <v>457</v>
      </c>
      <c r="O68" s="46" t="s">
        <v>457</v>
      </c>
      <c r="P68" s="46" t="s">
        <v>457</v>
      </c>
      <c r="Q68" s="46" t="s">
        <v>457</v>
      </c>
      <c r="R68" s="46" t="s">
        <v>457</v>
      </c>
      <c r="S68" s="46" t="s">
        <v>457</v>
      </c>
      <c r="T68" s="32">
        <v>0</v>
      </c>
      <c r="U68" s="32">
        <v>347</v>
      </c>
      <c r="V68" s="32">
        <f t="shared" si="5"/>
        <v>347</v>
      </c>
      <c r="W68" s="32" t="s">
        <v>457</v>
      </c>
      <c r="X68" s="32" t="s">
        <v>457</v>
      </c>
      <c r="Y68" s="32" t="s">
        <v>457</v>
      </c>
      <c r="Z68" s="32" t="s">
        <v>457</v>
      </c>
      <c r="AA68" s="32" t="s">
        <v>457</v>
      </c>
      <c r="AB68" s="32">
        <v>0</v>
      </c>
      <c r="AC68" s="32">
        <v>347</v>
      </c>
      <c r="AD68" s="32">
        <f t="shared" si="3"/>
        <v>347</v>
      </c>
      <c r="AE68" s="32" t="str">
        <f t="shared" si="4"/>
        <v>-</v>
      </c>
    </row>
    <row r="69" spans="1:31" s="11" customFormat="1" ht="12.95" customHeight="1" x14ac:dyDescent="0.2">
      <c r="A69" s="103" t="s">
        <v>96</v>
      </c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46" t="s">
        <v>457</v>
      </c>
      <c r="M69" s="46" t="s">
        <v>457</v>
      </c>
      <c r="N69" s="46" t="s">
        <v>457</v>
      </c>
      <c r="O69" s="46" t="s">
        <v>457</v>
      </c>
      <c r="P69" s="46" t="s">
        <v>457</v>
      </c>
      <c r="Q69" s="46" t="s">
        <v>457</v>
      </c>
      <c r="R69" s="46" t="s">
        <v>457</v>
      </c>
      <c r="S69" s="46" t="s">
        <v>457</v>
      </c>
      <c r="T69" s="32">
        <f>T49+T51+T57+T58+T61+T65</f>
        <v>21020</v>
      </c>
      <c r="U69" s="32">
        <f>U49+U51+U57+U58+U61+U65</f>
        <v>24643</v>
      </c>
      <c r="V69" s="32">
        <f t="shared" si="5"/>
        <v>3623</v>
      </c>
      <c r="W69" s="32">
        <f t="shared" si="6"/>
        <v>117.23596574690771</v>
      </c>
      <c r="X69" s="32" t="s">
        <v>457</v>
      </c>
      <c r="Y69" s="32" t="s">
        <v>457</v>
      </c>
      <c r="Z69" s="32" t="s">
        <v>457</v>
      </c>
      <c r="AA69" s="32" t="s">
        <v>457</v>
      </c>
      <c r="AB69" s="32">
        <v>3515</v>
      </c>
      <c r="AC69" s="32">
        <v>11730</v>
      </c>
      <c r="AD69" s="32">
        <f t="shared" si="3"/>
        <v>3623</v>
      </c>
      <c r="AE69" s="32">
        <f t="shared" si="4"/>
        <v>117.23596574690771</v>
      </c>
    </row>
    <row r="70" spans="1:31" s="11" customFormat="1" ht="12.95" customHeight="1" x14ac:dyDescent="0.2">
      <c r="A70" s="103" t="s">
        <v>474</v>
      </c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46" t="s">
        <v>457</v>
      </c>
      <c r="M70" s="46" t="s">
        <v>457</v>
      </c>
      <c r="N70" s="46" t="s">
        <v>457</v>
      </c>
      <c r="O70" s="46" t="s">
        <v>457</v>
      </c>
      <c r="P70" s="46" t="s">
        <v>457</v>
      </c>
      <c r="Q70" s="46" t="s">
        <v>457</v>
      </c>
      <c r="R70" s="46" t="s">
        <v>457</v>
      </c>
      <c r="S70" s="46" t="s">
        <v>457</v>
      </c>
      <c r="T70" s="32" t="s">
        <v>457</v>
      </c>
      <c r="U70" s="32" t="s">
        <v>457</v>
      </c>
      <c r="V70" s="32" t="s">
        <v>457</v>
      </c>
      <c r="W70" s="32" t="s">
        <v>457</v>
      </c>
      <c r="X70" s="32" t="s">
        <v>457</v>
      </c>
      <c r="Y70" s="32" t="s">
        <v>457</v>
      </c>
      <c r="Z70" s="32" t="s">
        <v>457</v>
      </c>
      <c r="AA70" s="32" t="s">
        <v>457</v>
      </c>
      <c r="AB70" s="32" t="s">
        <v>457</v>
      </c>
      <c r="AC70" s="32" t="s">
        <v>457</v>
      </c>
      <c r="AD70" s="32" t="s">
        <v>457</v>
      </c>
      <c r="AE70" s="32" t="s">
        <v>457</v>
      </c>
    </row>
    <row r="71" spans="1:31" s="11" customFormat="1" ht="12.95" customHeight="1" x14ac:dyDescent="0.2"/>
    <row r="72" spans="1:31" s="11" customFormat="1" ht="27" customHeight="1" x14ac:dyDescent="0.2"/>
    <row r="73" spans="1:31" s="11" customFormat="1" ht="12.95" customHeight="1" x14ac:dyDescent="0.2">
      <c r="B73" s="117" t="s">
        <v>475</v>
      </c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7"/>
      <c r="Q73" s="117"/>
      <c r="R73" s="117"/>
      <c r="S73" s="117"/>
      <c r="T73" s="117"/>
      <c r="U73" s="117"/>
      <c r="V73" s="117"/>
      <c r="W73" s="117"/>
      <c r="X73" s="117"/>
      <c r="Y73" s="117"/>
      <c r="Z73" s="117"/>
      <c r="AA73" s="117"/>
      <c r="AB73" s="117"/>
      <c r="AC73" s="117"/>
      <c r="AD73" s="117"/>
      <c r="AE73" s="117"/>
    </row>
    <row r="74" spans="1:31" s="11" customFormat="1" ht="12.95" customHeight="1" x14ac:dyDescent="0.2">
      <c r="AC74" s="93" t="s">
        <v>449</v>
      </c>
      <c r="AD74" s="93"/>
      <c r="AE74" s="93"/>
    </row>
    <row r="75" spans="1:31" s="11" customFormat="1" ht="24.95" customHeight="1" x14ac:dyDescent="0.2">
      <c r="A75" s="101" t="s">
        <v>476</v>
      </c>
      <c r="B75" s="101" t="s">
        <v>477</v>
      </c>
      <c r="C75" s="101" t="s">
        <v>478</v>
      </c>
      <c r="D75" s="101"/>
      <c r="E75" s="101" t="s">
        <v>479</v>
      </c>
      <c r="F75" s="101"/>
      <c r="G75" s="101" t="s">
        <v>480</v>
      </c>
      <c r="H75" s="101"/>
      <c r="I75" s="101" t="s">
        <v>481</v>
      </c>
      <c r="J75" s="101"/>
      <c r="K75" s="104" t="s">
        <v>579</v>
      </c>
      <c r="L75" s="101"/>
      <c r="M75" s="101"/>
      <c r="N75" s="101"/>
      <c r="O75" s="101"/>
      <c r="P75" s="101"/>
      <c r="Q75" s="101"/>
      <c r="R75" s="101"/>
      <c r="S75" s="101"/>
      <c r="T75" s="101"/>
      <c r="U75" s="101" t="s">
        <v>482</v>
      </c>
      <c r="V75" s="101"/>
      <c r="W75" s="101"/>
      <c r="X75" s="101"/>
      <c r="Y75" s="101"/>
      <c r="Z75" s="101" t="s">
        <v>483</v>
      </c>
      <c r="AA75" s="101"/>
      <c r="AB75" s="101"/>
      <c r="AC75" s="101"/>
      <c r="AD75" s="101"/>
      <c r="AE75" s="101"/>
    </row>
    <row r="76" spans="1:31" s="11" customFormat="1" ht="44.1" customHeight="1" x14ac:dyDescent="0.2">
      <c r="A76" s="101"/>
      <c r="B76" s="101"/>
      <c r="C76" s="101"/>
      <c r="D76" s="101"/>
      <c r="E76" s="101"/>
      <c r="F76" s="101"/>
      <c r="G76" s="101"/>
      <c r="H76" s="101"/>
      <c r="I76" s="101"/>
      <c r="J76" s="101"/>
      <c r="K76" s="101" t="s">
        <v>484</v>
      </c>
      <c r="L76" s="101"/>
      <c r="M76" s="101" t="s">
        <v>485</v>
      </c>
      <c r="N76" s="101"/>
      <c r="O76" s="101" t="s">
        <v>486</v>
      </c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</row>
    <row r="77" spans="1:31" s="11" customFormat="1" ht="44.1" customHeight="1" x14ac:dyDescent="0.2">
      <c r="A77" s="101"/>
      <c r="B77" s="101"/>
      <c r="C77" s="101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 t="s">
        <v>146</v>
      </c>
      <c r="P77" s="101"/>
      <c r="Q77" s="101" t="s">
        <v>487</v>
      </c>
      <c r="R77" s="101"/>
      <c r="S77" s="101" t="s">
        <v>488</v>
      </c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</row>
    <row r="78" spans="1:31" s="11" customFormat="1" ht="12.95" customHeight="1" x14ac:dyDescent="0.2">
      <c r="A78" s="50">
        <v>1</v>
      </c>
      <c r="B78" s="50">
        <v>2</v>
      </c>
      <c r="C78" s="115">
        <v>3</v>
      </c>
      <c r="D78" s="115"/>
      <c r="E78" s="115">
        <v>4</v>
      </c>
      <c r="F78" s="115"/>
      <c r="G78" s="115">
        <v>5</v>
      </c>
      <c r="H78" s="115"/>
      <c r="I78" s="115">
        <v>6</v>
      </c>
      <c r="J78" s="115"/>
      <c r="K78" s="115">
        <v>7</v>
      </c>
      <c r="L78" s="115"/>
      <c r="M78" s="115">
        <v>8</v>
      </c>
      <c r="N78" s="115"/>
      <c r="O78" s="115">
        <v>9</v>
      </c>
      <c r="P78" s="115"/>
      <c r="Q78" s="115">
        <v>10</v>
      </c>
      <c r="R78" s="115"/>
      <c r="S78" s="115">
        <v>11</v>
      </c>
      <c r="T78" s="115"/>
      <c r="U78" s="115">
        <v>12</v>
      </c>
      <c r="V78" s="115"/>
      <c r="W78" s="115"/>
      <c r="X78" s="115"/>
      <c r="Y78" s="115"/>
      <c r="Z78" s="115">
        <v>13</v>
      </c>
      <c r="AA78" s="115"/>
      <c r="AB78" s="115"/>
      <c r="AC78" s="115"/>
      <c r="AD78" s="115"/>
      <c r="AE78" s="115"/>
    </row>
    <row r="79" spans="1:31" s="11" customFormat="1" ht="12.95" customHeight="1" x14ac:dyDescent="0.2">
      <c r="A79" s="50">
        <v>1</v>
      </c>
      <c r="B79" s="68" t="s">
        <v>575</v>
      </c>
      <c r="C79" s="101">
        <v>2017</v>
      </c>
      <c r="D79" s="101"/>
      <c r="E79" s="118">
        <v>5000</v>
      </c>
      <c r="F79" s="118"/>
      <c r="G79" s="118" t="s">
        <v>457</v>
      </c>
      <c r="H79" s="118"/>
      <c r="I79" s="118" t="s">
        <v>457</v>
      </c>
      <c r="J79" s="118"/>
      <c r="K79" s="118">
        <v>9433.1</v>
      </c>
      <c r="L79" s="118"/>
      <c r="M79" s="139">
        <f>O79</f>
        <v>9433.1</v>
      </c>
      <c r="N79" s="140"/>
      <c r="O79" s="118">
        <v>9433.1</v>
      </c>
      <c r="P79" s="118"/>
      <c r="Q79" s="118" t="s">
        <v>457</v>
      </c>
      <c r="R79" s="118"/>
      <c r="S79" s="118" t="s">
        <v>457</v>
      </c>
      <c r="T79" s="118"/>
      <c r="U79" s="101" t="s">
        <v>457</v>
      </c>
      <c r="V79" s="101"/>
      <c r="W79" s="101"/>
      <c r="X79" s="101"/>
      <c r="Y79" s="101"/>
      <c r="Z79" s="101" t="s">
        <v>457</v>
      </c>
      <c r="AA79" s="101"/>
      <c r="AB79" s="101"/>
      <c r="AC79" s="101"/>
      <c r="AD79" s="101"/>
      <c r="AE79" s="101"/>
    </row>
    <row r="80" spans="1:31" s="11" customFormat="1" ht="12.95" hidden="1" customHeight="1" x14ac:dyDescent="0.2">
      <c r="A80" s="46"/>
      <c r="B80" s="46"/>
      <c r="C80" s="101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</row>
    <row r="81" spans="1:31" s="11" customFormat="1" ht="12.95" customHeight="1" x14ac:dyDescent="0.2">
      <c r="A81" s="101" t="s">
        <v>96</v>
      </c>
      <c r="B81" s="101"/>
      <c r="C81" s="101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</row>
    <row r="82" spans="1:31" ht="12.95" customHeight="1" x14ac:dyDescent="0.2"/>
    <row r="83" spans="1:31" ht="12.95" customHeight="1" x14ac:dyDescent="0.2"/>
    <row r="84" spans="1:31" s="24" customFormat="1" ht="12.95" customHeight="1" x14ac:dyDescent="0.2">
      <c r="B84" s="49" t="s">
        <v>183</v>
      </c>
    </row>
    <row r="85" spans="1:31" s="24" customFormat="1" ht="12.95" customHeight="1" x14ac:dyDescent="0.2">
      <c r="B85" s="138" t="s">
        <v>571</v>
      </c>
      <c r="C85" s="138"/>
      <c r="D85" s="138"/>
      <c r="G85" s="72"/>
      <c r="H85" s="72"/>
      <c r="I85" s="72"/>
      <c r="J85" s="72"/>
      <c r="K85" s="72"/>
      <c r="L85" s="72"/>
      <c r="Q85" s="136" t="s">
        <v>599</v>
      </c>
      <c r="R85" s="136"/>
      <c r="S85" s="136"/>
      <c r="T85" s="136"/>
      <c r="U85" s="136"/>
      <c r="V85" s="136"/>
      <c r="W85" s="136"/>
    </row>
    <row r="86" spans="1:31" s="24" customFormat="1" ht="12.95" customHeight="1" x14ac:dyDescent="0.2">
      <c r="B86" s="52" t="s">
        <v>184</v>
      </c>
      <c r="C86" s="49"/>
      <c r="D86" s="49"/>
      <c r="G86" s="137" t="s">
        <v>185</v>
      </c>
      <c r="H86" s="137"/>
      <c r="I86" s="137"/>
      <c r="J86" s="137"/>
      <c r="K86" s="137"/>
      <c r="L86" s="137"/>
      <c r="Q86" s="137" t="s">
        <v>186</v>
      </c>
      <c r="R86" s="137"/>
      <c r="S86" s="137"/>
      <c r="T86" s="137"/>
      <c r="U86" s="137"/>
      <c r="V86" s="137"/>
      <c r="W86" s="137"/>
    </row>
  </sheetData>
  <mergeCells count="340">
    <mergeCell ref="AC31:AE31"/>
    <mergeCell ref="AC27:AE27"/>
    <mergeCell ref="W28:Y28"/>
    <mergeCell ref="Z28:AB28"/>
    <mergeCell ref="AC28:AE28"/>
    <mergeCell ref="W29:Y29"/>
    <mergeCell ref="Z29:AB29"/>
    <mergeCell ref="AC29:AE29"/>
    <mergeCell ref="W27:Y27"/>
    <mergeCell ref="Z27:AB27"/>
    <mergeCell ref="P12:S12"/>
    <mergeCell ref="T12:V12"/>
    <mergeCell ref="W12:Y12"/>
    <mergeCell ref="G19:O19"/>
    <mergeCell ref="P19:S19"/>
    <mergeCell ref="T19:V19"/>
    <mergeCell ref="W19:Y19"/>
    <mergeCell ref="P18:S18"/>
    <mergeCell ref="T18:V18"/>
    <mergeCell ref="W18:Y18"/>
    <mergeCell ref="B2:AE2"/>
    <mergeCell ref="A4:A5"/>
    <mergeCell ref="B4:B5"/>
    <mergeCell ref="C4:F5"/>
    <mergeCell ref="G4:O5"/>
    <mergeCell ref="P4:Y4"/>
    <mergeCell ref="Z4:AB5"/>
    <mergeCell ref="AC4:AE5"/>
    <mergeCell ref="P5:S5"/>
    <mergeCell ref="T5:V5"/>
    <mergeCell ref="W5:Y5"/>
    <mergeCell ref="Z6:AB6"/>
    <mergeCell ref="AC6:AE6"/>
    <mergeCell ref="C7:F7"/>
    <mergeCell ref="G7:O7"/>
    <mergeCell ref="P7:S7"/>
    <mergeCell ref="W9:Y9"/>
    <mergeCell ref="T7:V7"/>
    <mergeCell ref="P8:S8"/>
    <mergeCell ref="T8:V8"/>
    <mergeCell ref="W8:Y8"/>
    <mergeCell ref="W7:Y7"/>
    <mergeCell ref="Z7:AB7"/>
    <mergeCell ref="AC7:AE7"/>
    <mergeCell ref="C6:F6"/>
    <mergeCell ref="G6:O6"/>
    <mergeCell ref="P6:S6"/>
    <mergeCell ref="T6:V6"/>
    <mergeCell ref="W6:Y6"/>
    <mergeCell ref="AC10:AE10"/>
    <mergeCell ref="Z8:AB8"/>
    <mergeCell ref="AC8:AE8"/>
    <mergeCell ref="C9:F9"/>
    <mergeCell ref="G9:O9"/>
    <mergeCell ref="P9:S9"/>
    <mergeCell ref="T9:V9"/>
    <mergeCell ref="AC11:AE11"/>
    <mergeCell ref="C10:F10"/>
    <mergeCell ref="G10:O10"/>
    <mergeCell ref="P10:S10"/>
    <mergeCell ref="T10:V10"/>
    <mergeCell ref="W10:Y10"/>
    <mergeCell ref="Z10:AB10"/>
    <mergeCell ref="C11:F11"/>
    <mergeCell ref="G11:O11"/>
    <mergeCell ref="P11:S11"/>
    <mergeCell ref="W11:Y11"/>
    <mergeCell ref="Z11:AB11"/>
    <mergeCell ref="T11:V11"/>
    <mergeCell ref="Z9:AB9"/>
    <mergeCell ref="AC9:AE9"/>
    <mergeCell ref="C8:F8"/>
    <mergeCell ref="G8:O8"/>
    <mergeCell ref="AC13:AE13"/>
    <mergeCell ref="AC16:AE16"/>
    <mergeCell ref="C17:F17"/>
    <mergeCell ref="G17:O17"/>
    <mergeCell ref="P17:S17"/>
    <mergeCell ref="T17:V17"/>
    <mergeCell ref="W17:Y17"/>
    <mergeCell ref="Z16:AB16"/>
    <mergeCell ref="Z12:AB12"/>
    <mergeCell ref="Z15:AB15"/>
    <mergeCell ref="AC15:AE15"/>
    <mergeCell ref="AC12:AE12"/>
    <mergeCell ref="C13:F13"/>
    <mergeCell ref="P14:S14"/>
    <mergeCell ref="T14:V14"/>
    <mergeCell ref="W14:Y14"/>
    <mergeCell ref="Z14:AB14"/>
    <mergeCell ref="AC14:AE14"/>
    <mergeCell ref="C12:F12"/>
    <mergeCell ref="G12:O12"/>
    <mergeCell ref="G13:O13"/>
    <mergeCell ref="G15:O15"/>
    <mergeCell ref="P15:S15"/>
    <mergeCell ref="T15:V15"/>
    <mergeCell ref="C16:F16"/>
    <mergeCell ref="P13:S13"/>
    <mergeCell ref="T13:V13"/>
    <mergeCell ref="W13:Y13"/>
    <mergeCell ref="Z13:AB13"/>
    <mergeCell ref="C14:F14"/>
    <mergeCell ref="G14:O14"/>
    <mergeCell ref="C15:F15"/>
    <mergeCell ref="P16:S16"/>
    <mergeCell ref="T16:V16"/>
    <mergeCell ref="W16:Y16"/>
    <mergeCell ref="W15:Y15"/>
    <mergeCell ref="Z18:AB18"/>
    <mergeCell ref="G16:O16"/>
    <mergeCell ref="Z21:AB21"/>
    <mergeCell ref="AC21:AE21"/>
    <mergeCell ref="C20:F20"/>
    <mergeCell ref="G20:O20"/>
    <mergeCell ref="AC18:AE18"/>
    <mergeCell ref="Z19:AB19"/>
    <mergeCell ref="AC19:AE19"/>
    <mergeCell ref="C18:F18"/>
    <mergeCell ref="G18:O18"/>
    <mergeCell ref="C19:F19"/>
    <mergeCell ref="P20:S20"/>
    <mergeCell ref="T20:V20"/>
    <mergeCell ref="W20:Y20"/>
    <mergeCell ref="Z20:AB20"/>
    <mergeCell ref="AC20:AE20"/>
    <mergeCell ref="C21:F21"/>
    <mergeCell ref="G21:O21"/>
    <mergeCell ref="P21:S21"/>
    <mergeCell ref="T21:V21"/>
    <mergeCell ref="W21:Y21"/>
    <mergeCell ref="Z17:AB17"/>
    <mergeCell ref="AC17:AE17"/>
    <mergeCell ref="AC22:AE22"/>
    <mergeCell ref="Z25:AB25"/>
    <mergeCell ref="AC25:AE25"/>
    <mergeCell ref="C24:F24"/>
    <mergeCell ref="G24:O24"/>
    <mergeCell ref="C25:F25"/>
    <mergeCell ref="G25:O25"/>
    <mergeCell ref="P25:S25"/>
    <mergeCell ref="T25:V25"/>
    <mergeCell ref="W25:Y25"/>
    <mergeCell ref="C23:F23"/>
    <mergeCell ref="P24:S24"/>
    <mergeCell ref="T24:V24"/>
    <mergeCell ref="W24:Y24"/>
    <mergeCell ref="Z24:AB24"/>
    <mergeCell ref="AC24:AE24"/>
    <mergeCell ref="C22:F22"/>
    <mergeCell ref="AC23:AE23"/>
    <mergeCell ref="G22:O22"/>
    <mergeCell ref="P22:S22"/>
    <mergeCell ref="T22:V22"/>
    <mergeCell ref="W22:Y22"/>
    <mergeCell ref="Z22:AB22"/>
    <mergeCell ref="Z26:AB26"/>
    <mergeCell ref="AC26:AE26"/>
    <mergeCell ref="C26:F26"/>
    <mergeCell ref="P26:S26"/>
    <mergeCell ref="T26:V26"/>
    <mergeCell ref="W26:Y26"/>
    <mergeCell ref="G26:O26"/>
    <mergeCell ref="P23:S23"/>
    <mergeCell ref="T23:V23"/>
    <mergeCell ref="G23:O23"/>
    <mergeCell ref="W23:Y23"/>
    <mergeCell ref="Z23:AB23"/>
    <mergeCell ref="Z32:AB32"/>
    <mergeCell ref="AC32:AE32"/>
    <mergeCell ref="C27:F27"/>
    <mergeCell ref="G27:O27"/>
    <mergeCell ref="P27:S27"/>
    <mergeCell ref="T27:V27"/>
    <mergeCell ref="P28:S28"/>
    <mergeCell ref="T28:V28"/>
    <mergeCell ref="A32:O32"/>
    <mergeCell ref="P32:S32"/>
    <mergeCell ref="T32:V32"/>
    <mergeCell ref="W32:Y32"/>
    <mergeCell ref="C29:F29"/>
    <mergeCell ref="G29:O29"/>
    <mergeCell ref="P29:S29"/>
    <mergeCell ref="T29:V29"/>
    <mergeCell ref="C28:F28"/>
    <mergeCell ref="G28:O28"/>
    <mergeCell ref="C31:F31"/>
    <mergeCell ref="G31:O31"/>
    <mergeCell ref="P31:S31"/>
    <mergeCell ref="T31:V31"/>
    <mergeCell ref="W31:Y31"/>
    <mergeCell ref="Z31:AB31"/>
    <mergeCell ref="B34:AE34"/>
    <mergeCell ref="A36:A37"/>
    <mergeCell ref="B36:B37"/>
    <mergeCell ref="Z39:AA39"/>
    <mergeCell ref="AB39:AC39"/>
    <mergeCell ref="AD39:AE39"/>
    <mergeCell ref="V37:W37"/>
    <mergeCell ref="X37:Y37"/>
    <mergeCell ref="Z37:AA37"/>
    <mergeCell ref="C36:F37"/>
    <mergeCell ref="G36:P37"/>
    <mergeCell ref="Q36:U37"/>
    <mergeCell ref="X38:Y38"/>
    <mergeCell ref="C39:F39"/>
    <mergeCell ref="G39:P39"/>
    <mergeCell ref="Q39:U39"/>
    <mergeCell ref="V39:W39"/>
    <mergeCell ref="X39:Y39"/>
    <mergeCell ref="Z38:AA38"/>
    <mergeCell ref="AB38:AC38"/>
    <mergeCell ref="AD38:AE38"/>
    <mergeCell ref="C38:F38"/>
    <mergeCell ref="G38:P38"/>
    <mergeCell ref="Q38:U38"/>
    <mergeCell ref="V38:W38"/>
    <mergeCell ref="AD36:AE37"/>
    <mergeCell ref="V36:AA36"/>
    <mergeCell ref="AB36:AC37"/>
    <mergeCell ref="A41:U41"/>
    <mergeCell ref="V41:W41"/>
    <mergeCell ref="X41:Y41"/>
    <mergeCell ref="Z41:AA41"/>
    <mergeCell ref="AB41:AC41"/>
    <mergeCell ref="AD41:AE41"/>
    <mergeCell ref="Q40:U40"/>
    <mergeCell ref="AD40:AE40"/>
    <mergeCell ref="C40:F40"/>
    <mergeCell ref="G40:P40"/>
    <mergeCell ref="L46:O46"/>
    <mergeCell ref="P46:S46"/>
    <mergeCell ref="V40:W40"/>
    <mergeCell ref="X40:Y40"/>
    <mergeCell ref="Z40:AA40"/>
    <mergeCell ref="AB40:AC40"/>
    <mergeCell ref="B54:K54"/>
    <mergeCell ref="B55:K55"/>
    <mergeCell ref="B56:K56"/>
    <mergeCell ref="B51:K51"/>
    <mergeCell ref="B44:AE44"/>
    <mergeCell ref="AC45:AE45"/>
    <mergeCell ref="T46:W46"/>
    <mergeCell ref="X46:AA46"/>
    <mergeCell ref="AB46:AE46"/>
    <mergeCell ref="B48:K48"/>
    <mergeCell ref="A46:A47"/>
    <mergeCell ref="B46:K47"/>
    <mergeCell ref="B49:K49"/>
    <mergeCell ref="B50:K50"/>
    <mergeCell ref="B52:K52"/>
    <mergeCell ref="B53:K53"/>
    <mergeCell ref="B58:K58"/>
    <mergeCell ref="B59:K59"/>
    <mergeCell ref="B61:K61"/>
    <mergeCell ref="B62:K62"/>
    <mergeCell ref="B63:K63"/>
    <mergeCell ref="B57:K57"/>
    <mergeCell ref="A69:K69"/>
    <mergeCell ref="B60:K60"/>
    <mergeCell ref="A70:K70"/>
    <mergeCell ref="B73:AE73"/>
    <mergeCell ref="B64:K64"/>
    <mergeCell ref="B65:K65"/>
    <mergeCell ref="B66:K66"/>
    <mergeCell ref="AC74:AE74"/>
    <mergeCell ref="B67:K67"/>
    <mergeCell ref="B68:K68"/>
    <mergeCell ref="G75:H77"/>
    <mergeCell ref="I75:J77"/>
    <mergeCell ref="K75:T75"/>
    <mergeCell ref="U75:Y77"/>
    <mergeCell ref="Z75:AE77"/>
    <mergeCell ref="K76:L77"/>
    <mergeCell ref="M76:N77"/>
    <mergeCell ref="O76:T76"/>
    <mergeCell ref="O77:P77"/>
    <mergeCell ref="Q77:R77"/>
    <mergeCell ref="S77:T77"/>
    <mergeCell ref="A75:A77"/>
    <mergeCell ref="B75:B77"/>
    <mergeCell ref="C75:D77"/>
    <mergeCell ref="E75:F77"/>
    <mergeCell ref="K78:L78"/>
    <mergeCell ref="C79:D79"/>
    <mergeCell ref="E79:F79"/>
    <mergeCell ref="G79:H79"/>
    <mergeCell ref="I79:J79"/>
    <mergeCell ref="C78:D78"/>
    <mergeCell ref="E78:F78"/>
    <mergeCell ref="G78:H78"/>
    <mergeCell ref="I78:J78"/>
    <mergeCell ref="A81:B81"/>
    <mergeCell ref="C81:D81"/>
    <mergeCell ref="E81:F81"/>
    <mergeCell ref="G81:H81"/>
    <mergeCell ref="U78:Y78"/>
    <mergeCell ref="U80:Y80"/>
    <mergeCell ref="Z80:AE80"/>
    <mergeCell ref="K80:L80"/>
    <mergeCell ref="M80:N80"/>
    <mergeCell ref="O80:P80"/>
    <mergeCell ref="Q80:R80"/>
    <mergeCell ref="S80:T80"/>
    <mergeCell ref="U79:Y79"/>
    <mergeCell ref="Z78:AE78"/>
    <mergeCell ref="K79:L79"/>
    <mergeCell ref="O79:P79"/>
    <mergeCell ref="Q79:R79"/>
    <mergeCell ref="S79:T79"/>
    <mergeCell ref="M78:N78"/>
    <mergeCell ref="Z79:AE79"/>
    <mergeCell ref="O78:P78"/>
    <mergeCell ref="Q78:R78"/>
    <mergeCell ref="S78:T78"/>
    <mergeCell ref="M79:N79"/>
    <mergeCell ref="G30:O30"/>
    <mergeCell ref="C30:F30"/>
    <mergeCell ref="P30:S30"/>
    <mergeCell ref="T30:V30"/>
    <mergeCell ref="W30:Y30"/>
    <mergeCell ref="Z30:AB30"/>
    <mergeCell ref="AC30:AE30"/>
    <mergeCell ref="Q85:W85"/>
    <mergeCell ref="G86:L86"/>
    <mergeCell ref="Q86:W86"/>
    <mergeCell ref="Z81:AE81"/>
    <mergeCell ref="K81:L81"/>
    <mergeCell ref="M81:N81"/>
    <mergeCell ref="O81:P81"/>
    <mergeCell ref="Q81:R81"/>
    <mergeCell ref="S81:T81"/>
    <mergeCell ref="U81:Y81"/>
    <mergeCell ref="G85:L85"/>
    <mergeCell ref="I81:J81"/>
    <mergeCell ref="B85:D85"/>
    <mergeCell ref="C80:D80"/>
    <mergeCell ref="E80:F80"/>
    <mergeCell ref="G80:H80"/>
    <mergeCell ref="I80:J80"/>
  </mergeCells>
  <phoneticPr fontId="0" type="noConversion"/>
  <pageMargins left="0.35433070866141736" right="0.35433070866141736" top="0.35433070866141736" bottom="0.35433070866141736" header="0" footer="0"/>
  <pageSetup paperSize="9" scale="59" fitToHeight="2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4</vt:i4>
      </vt:variant>
    </vt:vector>
  </HeadingPairs>
  <TitlesOfParts>
    <vt:vector size="12" baseType="lpstr">
      <vt:lpstr>Осн. фін. пок.</vt:lpstr>
      <vt:lpstr>I. Формування фін. рез.</vt:lpstr>
      <vt:lpstr>ІІ. Розр. з бюджетом</vt:lpstr>
      <vt:lpstr>ІІІ. Рух грош. коштів</vt:lpstr>
      <vt:lpstr>IV. Кап. інвестиції</vt:lpstr>
      <vt:lpstr> V. Коефіцієнти</vt:lpstr>
      <vt:lpstr>Iнформація до ФП</vt:lpstr>
      <vt:lpstr>Продовження інф. до ФП</vt:lpstr>
      <vt:lpstr>'I. Формування фін. рез.'!Заголовки_для_печати</vt:lpstr>
      <vt:lpstr>'ІІ. Розр. з бюджетом'!Заголовки_для_печати</vt:lpstr>
      <vt:lpstr>'ІІІ. Рух грош. коштів'!Заголовки_для_печати</vt:lpstr>
      <vt:lpstr>'Осн. фін. пок.'!Заголовки_для_печати</vt:lpstr>
    </vt:vector>
  </TitlesOfParts>
  <Company>ГП ОМТП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pashkovsky_udp</dc:creator>
  <cp:lastModifiedBy>user</cp:lastModifiedBy>
  <cp:lastPrinted>2018-02-23T09:58:47Z</cp:lastPrinted>
  <dcterms:created xsi:type="dcterms:W3CDTF">2017-02-08T12:33:36Z</dcterms:created>
  <dcterms:modified xsi:type="dcterms:W3CDTF">2020-01-17T04:11:00Z</dcterms:modified>
</cp:coreProperties>
</file>